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lmo.unifi.it\ASEF_DOCUMENTI_STIPENDI\DOCUMENTI STANZA 82_219\CCNL 2019_2021 giuridico_economico\paginaweb CCNL2019_2021\"/>
    </mc:Choice>
  </mc:AlternateContent>
  <xr:revisionPtr revIDLastSave="0" documentId="13_ncr:1_{277D0F11-32FD-4277-BC2B-E9854F311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M FinDiv 100%" sheetId="12" r:id="rId1"/>
    <sheet name="NM FinDiv 83,33%" sheetId="26" r:id="rId2"/>
    <sheet name="NM FinDiv 66,66%" sheetId="27" r:id="rId3"/>
    <sheet name="NM FinDiv 50%" sheetId="2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8" l="1"/>
  <c r="E19" i="28"/>
  <c r="C19" i="28"/>
  <c r="B19" i="28"/>
  <c r="I18" i="28"/>
  <c r="H18" i="28"/>
  <c r="E18" i="28"/>
  <c r="C18" i="28"/>
  <c r="D18" i="28" s="1"/>
  <c r="B18" i="28"/>
  <c r="O17" i="28"/>
  <c r="C17" i="28" s="1"/>
  <c r="D17" i="28" s="1"/>
  <c r="I17" i="28"/>
  <c r="H17" i="28"/>
  <c r="E17" i="28"/>
  <c r="B17" i="28"/>
  <c r="I16" i="28"/>
  <c r="H16" i="28"/>
  <c r="E16" i="28"/>
  <c r="C16" i="28"/>
  <c r="B16" i="28"/>
  <c r="D16" i="28" s="1"/>
  <c r="G11" i="28"/>
  <c r="E11" i="28"/>
  <c r="C11" i="28"/>
  <c r="B11" i="28"/>
  <c r="I10" i="28"/>
  <c r="H10" i="28"/>
  <c r="E10" i="28"/>
  <c r="C10" i="28"/>
  <c r="B10" i="28"/>
  <c r="I9" i="28"/>
  <c r="H9" i="28"/>
  <c r="E9" i="28"/>
  <c r="C9" i="28"/>
  <c r="B9" i="28"/>
  <c r="I8" i="28"/>
  <c r="H8" i="28"/>
  <c r="E8" i="28"/>
  <c r="C8" i="28"/>
  <c r="B8" i="28"/>
  <c r="D8" i="28" s="1"/>
  <c r="I7" i="28"/>
  <c r="H7" i="28"/>
  <c r="E7" i="28"/>
  <c r="C7" i="28"/>
  <c r="B7" i="28"/>
  <c r="G19" i="27"/>
  <c r="E19" i="27"/>
  <c r="C19" i="27"/>
  <c r="D19" i="27" s="1"/>
  <c r="B19" i="27"/>
  <c r="I18" i="27"/>
  <c r="H18" i="27"/>
  <c r="E18" i="27"/>
  <c r="C18" i="27"/>
  <c r="B18" i="27"/>
  <c r="O17" i="27"/>
  <c r="C17" i="27" s="1"/>
  <c r="I17" i="27"/>
  <c r="H17" i="27"/>
  <c r="E17" i="27"/>
  <c r="B17" i="27"/>
  <c r="I16" i="27"/>
  <c r="H16" i="27"/>
  <c r="E16" i="27"/>
  <c r="C16" i="27"/>
  <c r="B16" i="27"/>
  <c r="G11" i="27"/>
  <c r="E11" i="27"/>
  <c r="C11" i="27"/>
  <c r="B11" i="27"/>
  <c r="I10" i="27"/>
  <c r="H10" i="27"/>
  <c r="E10" i="27"/>
  <c r="C10" i="27"/>
  <c r="B10" i="27"/>
  <c r="I9" i="27"/>
  <c r="H9" i="27"/>
  <c r="E9" i="27"/>
  <c r="C9" i="27"/>
  <c r="D9" i="27" s="1"/>
  <c r="B9" i="27"/>
  <c r="I8" i="27"/>
  <c r="H8" i="27"/>
  <c r="E8" i="27"/>
  <c r="C8" i="27"/>
  <c r="B8" i="27"/>
  <c r="D8" i="27" s="1"/>
  <c r="I7" i="27"/>
  <c r="H7" i="27"/>
  <c r="E7" i="27"/>
  <c r="C7" i="27"/>
  <c r="B7" i="27"/>
  <c r="G19" i="26"/>
  <c r="E19" i="26"/>
  <c r="C19" i="26"/>
  <c r="B19" i="26"/>
  <c r="D19" i="26" s="1"/>
  <c r="I18" i="26"/>
  <c r="H18" i="26"/>
  <c r="E18" i="26"/>
  <c r="C18" i="26"/>
  <c r="D18" i="26" s="1"/>
  <c r="B18" i="26"/>
  <c r="O17" i="26"/>
  <c r="I17" i="26"/>
  <c r="H17" i="26"/>
  <c r="E17" i="26"/>
  <c r="C17" i="26"/>
  <c r="B17" i="26"/>
  <c r="I16" i="26"/>
  <c r="H16" i="26"/>
  <c r="E16" i="26"/>
  <c r="C16" i="26"/>
  <c r="B16" i="26"/>
  <c r="D16" i="26" s="1"/>
  <c r="G11" i="26"/>
  <c r="E11" i="26"/>
  <c r="C11" i="26"/>
  <c r="B11" i="26"/>
  <c r="I10" i="26"/>
  <c r="H10" i="26"/>
  <c r="E10" i="26"/>
  <c r="C10" i="26"/>
  <c r="B10" i="26"/>
  <c r="I9" i="26"/>
  <c r="H9" i="26"/>
  <c r="E9" i="26"/>
  <c r="C9" i="26"/>
  <c r="B9" i="26"/>
  <c r="I8" i="26"/>
  <c r="H8" i="26"/>
  <c r="E8" i="26"/>
  <c r="C8" i="26"/>
  <c r="B8" i="26"/>
  <c r="I7" i="26"/>
  <c r="H7" i="26"/>
  <c r="E7" i="26"/>
  <c r="C7" i="26"/>
  <c r="B7" i="26"/>
  <c r="D10" i="28" l="1"/>
  <c r="F10" i="28" s="1"/>
  <c r="F17" i="28"/>
  <c r="F18" i="28"/>
  <c r="D7" i="28"/>
  <c r="F7" i="28" s="1"/>
  <c r="F8" i="28"/>
  <c r="D9" i="28"/>
  <c r="F9" i="28" s="1"/>
  <c r="D11" i="28"/>
  <c r="F11" i="28" s="1"/>
  <c r="D19" i="28"/>
  <c r="F19" i="28" s="1"/>
  <c r="F16" i="28"/>
  <c r="D11" i="27"/>
  <c r="F11" i="27" s="1"/>
  <c r="D10" i="27"/>
  <c r="F19" i="27"/>
  <c r="D7" i="27"/>
  <c r="F7" i="27" s="1"/>
  <c r="D17" i="27"/>
  <c r="F17" i="27" s="1"/>
  <c r="D18" i="27"/>
  <c r="F18" i="27" s="1"/>
  <c r="J19" i="27"/>
  <c r="K19" i="27"/>
  <c r="F9" i="27"/>
  <c r="F8" i="27"/>
  <c r="F10" i="27"/>
  <c r="D16" i="27"/>
  <c r="F16" i="27" s="1"/>
  <c r="F8" i="26"/>
  <c r="J8" i="26" s="1"/>
  <c r="L8" i="26" s="1"/>
  <c r="D8" i="26"/>
  <c r="D9" i="26"/>
  <c r="D7" i="26"/>
  <c r="F7" i="26" s="1"/>
  <c r="J7" i="26" s="1"/>
  <c r="D10" i="26"/>
  <c r="F10" i="26" s="1"/>
  <c r="D11" i="26"/>
  <c r="F16" i="26"/>
  <c r="J16" i="26" s="1"/>
  <c r="L16" i="26" s="1"/>
  <c r="K8" i="26"/>
  <c r="K7" i="26"/>
  <c r="K16" i="26"/>
  <c r="F18" i="26"/>
  <c r="F9" i="26"/>
  <c r="F11" i="26"/>
  <c r="F19" i="26"/>
  <c r="D17" i="26"/>
  <c r="F17" i="26" s="1"/>
  <c r="O17" i="12"/>
  <c r="G19" i="12"/>
  <c r="E19" i="12"/>
  <c r="C19" i="12"/>
  <c r="B19" i="12"/>
  <c r="I18" i="12"/>
  <c r="H18" i="12"/>
  <c r="E18" i="12"/>
  <c r="C18" i="12"/>
  <c r="B18" i="12"/>
  <c r="I17" i="12"/>
  <c r="H17" i="12"/>
  <c r="E17" i="12"/>
  <c r="C17" i="12"/>
  <c r="B17" i="12"/>
  <c r="I16" i="12"/>
  <c r="H16" i="12"/>
  <c r="E16" i="12"/>
  <c r="C16" i="12"/>
  <c r="B16" i="12"/>
  <c r="C8" i="12"/>
  <c r="C9" i="12"/>
  <c r="C10" i="12"/>
  <c r="C11" i="12"/>
  <c r="C7" i="12"/>
  <c r="K11" i="28" l="1"/>
  <c r="J11" i="28"/>
  <c r="L11" i="28" s="1"/>
  <c r="K19" i="28"/>
  <c r="J19" i="28"/>
  <c r="L19" i="28" s="1"/>
  <c r="K7" i="28"/>
  <c r="J7" i="28"/>
  <c r="L7" i="28" s="1"/>
  <c r="K9" i="28"/>
  <c r="J9" i="28"/>
  <c r="L9" i="28" s="1"/>
  <c r="K17" i="28"/>
  <c r="J17" i="28"/>
  <c r="L17" i="28" s="1"/>
  <c r="K8" i="28"/>
  <c r="J8" i="28"/>
  <c r="L8" i="28" s="1"/>
  <c r="K10" i="28"/>
  <c r="J10" i="28"/>
  <c r="L10" i="28" s="1"/>
  <c r="J18" i="28"/>
  <c r="K18" i="28"/>
  <c r="J16" i="28"/>
  <c r="K16" i="28"/>
  <c r="K17" i="27"/>
  <c r="J17" i="27"/>
  <c r="J11" i="27"/>
  <c r="K11" i="27"/>
  <c r="J7" i="27"/>
  <c r="K7" i="27"/>
  <c r="L19" i="27"/>
  <c r="K18" i="27"/>
  <c r="J18" i="27"/>
  <c r="L18" i="27" s="1"/>
  <c r="K9" i="27"/>
  <c r="J9" i="27"/>
  <c r="J10" i="27"/>
  <c r="K10" i="27"/>
  <c r="K8" i="27"/>
  <c r="J8" i="27"/>
  <c r="J16" i="27"/>
  <c r="K16" i="27"/>
  <c r="L17" i="27"/>
  <c r="J17" i="26"/>
  <c r="K17" i="26"/>
  <c r="K19" i="26"/>
  <c r="J19" i="26"/>
  <c r="L19" i="26" s="1"/>
  <c r="K11" i="26"/>
  <c r="J11" i="26"/>
  <c r="J9" i="26"/>
  <c r="K9" i="26"/>
  <c r="K10" i="26"/>
  <c r="J10" i="26"/>
  <c r="K18" i="26"/>
  <c r="J18" i="26"/>
  <c r="L18" i="26" s="1"/>
  <c r="L7" i="26"/>
  <c r="D16" i="12"/>
  <c r="F16" i="12" s="1"/>
  <c r="K16" i="12" s="1"/>
  <c r="D18" i="12"/>
  <c r="F18" i="12"/>
  <c r="D17" i="12"/>
  <c r="F17" i="12" s="1"/>
  <c r="D19" i="12"/>
  <c r="F19" i="12" s="1"/>
  <c r="L18" i="28" l="1"/>
  <c r="L16" i="28"/>
  <c r="L7" i="27"/>
  <c r="L11" i="27"/>
  <c r="L16" i="27"/>
  <c r="L10" i="27"/>
  <c r="L8" i="27"/>
  <c r="L9" i="27"/>
  <c r="L17" i="26"/>
  <c r="L9" i="26"/>
  <c r="L10" i="26"/>
  <c r="L11" i="26"/>
  <c r="J16" i="12"/>
  <c r="L16" i="12" s="1"/>
  <c r="K19" i="12"/>
  <c r="J19" i="12"/>
  <c r="K17" i="12"/>
  <c r="J17" i="12"/>
  <c r="K18" i="12"/>
  <c r="J18" i="12"/>
  <c r="L17" i="12" l="1"/>
  <c r="L18" i="12"/>
  <c r="L19" i="12"/>
  <c r="I10" i="12"/>
  <c r="I9" i="12"/>
  <c r="I8" i="12"/>
  <c r="I7" i="12"/>
  <c r="G11" i="12"/>
  <c r="H10" i="12" l="1"/>
  <c r="H9" i="12"/>
  <c r="H8" i="12"/>
  <c r="H7" i="12"/>
  <c r="E11" i="12"/>
  <c r="E10" i="12"/>
  <c r="E9" i="12"/>
  <c r="E8" i="12"/>
  <c r="E7" i="12"/>
  <c r="B11" i="12"/>
  <c r="B10" i="12"/>
  <c r="B9" i="12"/>
  <c r="B8" i="12"/>
  <c r="B7" i="12"/>
  <c r="D10" i="12" l="1"/>
  <c r="D9" i="12"/>
  <c r="D8" i="12"/>
  <c r="F8" i="12" s="1"/>
  <c r="D7" i="12"/>
  <c r="F7" i="12" s="1"/>
  <c r="D11" i="12"/>
  <c r="K7" i="12" l="1"/>
  <c r="J7" i="12"/>
  <c r="K8" i="12"/>
  <c r="L8" i="12" s="1"/>
  <c r="J8" i="12"/>
  <c r="L7" i="12"/>
  <c r="F11" i="12"/>
  <c r="F10" i="12"/>
  <c r="F9" i="12"/>
  <c r="J9" i="12" l="1"/>
  <c r="K9" i="12"/>
  <c r="K10" i="12"/>
  <c r="J10" i="12"/>
  <c r="J11" i="12"/>
  <c r="K11" i="12"/>
  <c r="L10" i="12"/>
  <c r="L11" i="12" l="1"/>
  <c r="L9" i="12"/>
</calcChain>
</file>

<file path=xl/sharedStrings.xml><?xml version="1.0" encoding="utf-8"?>
<sst xmlns="http://schemas.openxmlformats.org/spreadsheetml/2006/main" count="220" uniqueCount="40">
  <si>
    <t>totale</t>
  </si>
  <si>
    <t>c1</t>
  </si>
  <si>
    <t>d1</t>
  </si>
  <si>
    <t>ep1</t>
  </si>
  <si>
    <t>TABELLE STIPENDI MENSILI  PERSONALE A TEMPO DETERMINATO</t>
  </si>
  <si>
    <t>IVC</t>
  </si>
  <si>
    <t>indenn. ateneo</t>
  </si>
  <si>
    <t>stip. base con IIS conglobata</t>
  </si>
  <si>
    <t>Valore annuo tabellare</t>
  </si>
  <si>
    <t>13 ma</t>
  </si>
  <si>
    <t>Indennità Accessoria Mensile</t>
  </si>
  <si>
    <t>costo mensile</t>
  </si>
  <si>
    <t>tot.lordo senza oneri</t>
  </si>
  <si>
    <t>Inq</t>
  </si>
  <si>
    <t>oneri *</t>
  </si>
  <si>
    <t>Indennità di Ateneo</t>
  </si>
  <si>
    <t>b1</t>
  </si>
  <si>
    <t>b3</t>
  </si>
  <si>
    <t xml:space="preserve">Retrib. di Posizione e di Risultato (15%) comprensive di 13a </t>
  </si>
  <si>
    <t>24,20% sul 100%</t>
  </si>
  <si>
    <t>7,68% solo su stipendio base e indennità di ateneo</t>
  </si>
  <si>
    <t>8,5% sul 100%</t>
  </si>
  <si>
    <t>1,61% sul 100%</t>
  </si>
  <si>
    <t>4,36% sul solo stipendio base (calcolato solo per la cat. EP)</t>
  </si>
  <si>
    <t>Performance Organizzativa e Individuale</t>
  </si>
  <si>
    <t xml:space="preserve">   COSTI PER PERSONALE su fondi RICERCA e FIN. DIVERSI INPDAP (uguali o superiori all'anno)</t>
  </si>
  <si>
    <t>CCNL 2019/2021 siglato il 18/01/2024 valido dal 01/01/2024 al 30/04/2024</t>
  </si>
  <si>
    <t>IVC per 7,7</t>
  </si>
  <si>
    <t>CCNL 2019/2021 siglato il 18/01/2024 valido dal 01/05/2024</t>
  </si>
  <si>
    <t>Operatori</t>
  </si>
  <si>
    <t>Collaboratori</t>
  </si>
  <si>
    <t>Funzionari</t>
  </si>
  <si>
    <t>Elevate Professionalità</t>
  </si>
  <si>
    <t>*</t>
  </si>
  <si>
    <t xml:space="preserve">INPDAP TFR- 9,60% DELL'80%  DELLA RETRIBUZIONE: </t>
  </si>
  <si>
    <t xml:space="preserve">IRAP: </t>
  </si>
  <si>
    <t xml:space="preserve">INPS ASPI (EX DS): </t>
  </si>
  <si>
    <t xml:space="preserve">Maggiorazione 18% del contributo Fondo Pensione: </t>
  </si>
  <si>
    <t xml:space="preserve">INPDAP FONDO PENSIONE: </t>
  </si>
  <si>
    <t>Oneri a carico dell'Amministrazione: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</si>
</sst>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_-;\-* #,##0.00_-;_-* &quot;-&quot;_-;_-@_-"/>
    <numFmt numFmtId="165" formatCode="[$-410]d\-mmm\-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0"/>
      <name val="Verdana"/>
      <family val="2"/>
    </font>
    <font>
      <b/>
      <i/>
      <sz val="9"/>
      <name val="Verdana"/>
      <family val="2"/>
    </font>
    <font>
      <b/>
      <sz val="10"/>
      <color indexed="10"/>
      <name val="Verdana"/>
      <family val="2"/>
    </font>
    <font>
      <sz val="10"/>
      <name val="Arial"/>
      <family val="2"/>
    </font>
    <font>
      <b/>
      <sz val="12"/>
      <color indexed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0" fontId="1" fillId="0" borderId="0"/>
    <xf numFmtId="41" fontId="1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4" fillId="0" borderId="0" xfId="0" applyFont="1"/>
    <xf numFmtId="0" fontId="3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vertical="center"/>
    </xf>
    <xf numFmtId="164" fontId="4" fillId="0" borderId="1" xfId="0" applyNumberFormat="1" applyFont="1" applyBorder="1"/>
    <xf numFmtId="164" fontId="4" fillId="0" borderId="1" xfId="1" applyNumberFormat="1" applyFont="1" applyBorder="1"/>
    <xf numFmtId="10" fontId="3" fillId="0" borderId="0" xfId="0" applyNumberFormat="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41" fontId="4" fillId="0" borderId="0" xfId="3" applyFont="1" applyAlignment="1">
      <alignment vertical="center"/>
    </xf>
    <xf numFmtId="164" fontId="4" fillId="0" borderId="1" xfId="3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13" fillId="0" borderId="0" xfId="3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41" fontId="6" fillId="0" borderId="0" xfId="3" applyFont="1" applyAlignment="1">
      <alignment vertical="center"/>
    </xf>
    <xf numFmtId="10" fontId="4" fillId="0" borderId="0" xfId="0" applyNumberFormat="1" applyFont="1"/>
    <xf numFmtId="164" fontId="4" fillId="0" borderId="0" xfId="3" applyNumberFormat="1" applyFont="1" applyBorder="1" applyAlignment="1">
      <alignment vertical="center"/>
    </xf>
    <xf numFmtId="164" fontId="4" fillId="0" borderId="0" xfId="1" applyNumberFormat="1" applyFont="1" applyBorder="1"/>
    <xf numFmtId="164" fontId="4" fillId="0" borderId="0" xfId="0" applyNumberFormat="1" applyFont="1"/>
    <xf numFmtId="164" fontId="4" fillId="0" borderId="0" xfId="0" applyNumberFormat="1" applyFont="1" applyAlignment="1">
      <alignment vertical="center"/>
    </xf>
    <xf numFmtId="10" fontId="3" fillId="0" borderId="1" xfId="0" applyNumberFormat="1" applyFont="1" applyBorder="1" applyAlignment="1">
      <alignment horizontal="right"/>
    </xf>
    <xf numFmtId="164" fontId="4" fillId="0" borderId="1" xfId="4" applyNumberFormat="1" applyFont="1" applyBorder="1" applyAlignment="1">
      <alignment vertical="center"/>
    </xf>
    <xf numFmtId="0" fontId="9" fillId="0" borderId="0" xfId="4" applyFont="1" applyAlignment="1">
      <alignment horizontal="right" vertical="center"/>
    </xf>
    <xf numFmtId="0" fontId="9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0" fontId="4" fillId="0" borderId="0" xfId="0" applyFont="1" applyAlignment="1">
      <alignment horizontal="right"/>
    </xf>
  </cellXfs>
  <cellStyles count="5">
    <cellStyle name="Migliaia [0]" xfId="1" builtinId="6"/>
    <cellStyle name="Migliaia [0] 2" xfId="3" xr:uid="{849BE1EF-21CB-4DC4-B1D4-374386AD0AC3}"/>
    <cellStyle name="Normale" xfId="0" builtinId="0"/>
    <cellStyle name="Normale 2" xfId="4" xr:uid="{CBE0E303-2595-4832-A336-6FC023764CBC}"/>
    <cellStyle name="Normale 3" xfId="2" xr:uid="{1A7E9D3E-B4DA-43FD-BDD6-2037CA649A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8F61-37B3-44E2-92B0-DC822010A680}">
  <sheetPr>
    <pageSetUpPr fitToPage="1"/>
  </sheetPr>
  <dimension ref="A1:R27"/>
  <sheetViews>
    <sheetView tabSelected="1" view="pageBreakPreview" zoomScaleSheetLayoutView="100" workbookViewId="0">
      <selection activeCell="E20" sqref="E20"/>
    </sheetView>
  </sheetViews>
  <sheetFormatPr defaultColWidth="12.28515625" defaultRowHeight="12.75" x14ac:dyDescent="0.2"/>
  <cols>
    <col min="1" max="1" width="22.5703125" style="6" customWidth="1"/>
    <col min="2" max="2" width="13.7109375" style="6" customWidth="1"/>
    <col min="3" max="4" width="9.7109375" style="6" bestFit="1" customWidth="1"/>
    <col min="5" max="5" width="14.28515625" style="6" customWidth="1"/>
    <col min="6" max="8" width="14.85546875" style="6" customWidth="1"/>
    <col min="9" max="9" width="16" style="6" customWidth="1"/>
    <col min="10" max="10" width="11.28515625" style="6" bestFit="1" customWidth="1"/>
    <col min="11" max="11" width="12.28515625" style="6" customWidth="1"/>
    <col min="12" max="12" width="14.42578125" style="6" customWidth="1"/>
    <col min="13" max="13" width="13.28515625" style="6" customWidth="1"/>
    <col min="14" max="14" width="13.85546875" style="6" customWidth="1"/>
    <col min="15" max="15" width="9.42578125" style="6" bestFit="1" customWidth="1"/>
    <col min="16" max="16" width="11.28515625" style="6" bestFit="1" customWidth="1"/>
    <col min="17" max="17" width="16.42578125" style="6" bestFit="1" customWidth="1"/>
    <col min="18" max="16384" width="12.28515625" style="6"/>
  </cols>
  <sheetData>
    <row r="1" spans="1:18" s="1" customFormat="1" ht="14.25" x14ac:dyDescent="0.2">
      <c r="A1" s="11" t="s">
        <v>25</v>
      </c>
      <c r="B1" s="11"/>
      <c r="C1" s="11"/>
      <c r="D1" s="11"/>
      <c r="E1" s="11"/>
      <c r="F1" s="11"/>
      <c r="G1" s="11"/>
      <c r="J1" s="4"/>
      <c r="K1" s="2"/>
    </row>
    <row r="2" spans="1:18" s="1" customFormat="1" ht="14.25" x14ac:dyDescent="0.2">
      <c r="A2" s="5"/>
      <c r="B2" s="11" t="s">
        <v>4</v>
      </c>
      <c r="C2" s="11"/>
      <c r="D2" s="11"/>
      <c r="E2" s="11"/>
      <c r="F2" s="11"/>
      <c r="G2" s="11"/>
      <c r="H2" s="11"/>
      <c r="I2" s="11"/>
      <c r="J2" s="9"/>
      <c r="L2" s="37">
        <v>1</v>
      </c>
      <c r="M2" s="2"/>
      <c r="N2" s="2"/>
      <c r="O2" s="3"/>
    </row>
    <row r="4" spans="1:18" ht="29.25" customHeight="1" x14ac:dyDescent="0.2">
      <c r="B4" s="14"/>
      <c r="C4" s="14"/>
      <c r="D4" s="14"/>
      <c r="F4" s="15"/>
      <c r="G4" s="15"/>
      <c r="H4" s="15"/>
      <c r="I4" s="15"/>
      <c r="J4" s="14"/>
      <c r="L4" s="39" t="s">
        <v>26</v>
      </c>
      <c r="M4" s="16"/>
      <c r="N4" s="13"/>
      <c r="O4" s="14"/>
      <c r="P4" s="14"/>
      <c r="Q4" s="14"/>
    </row>
    <row r="5" spans="1:18" ht="67.5" x14ac:dyDescent="0.2">
      <c r="A5" s="17" t="s">
        <v>13</v>
      </c>
      <c r="B5" s="18" t="s">
        <v>7</v>
      </c>
      <c r="C5" s="40" t="s">
        <v>27</v>
      </c>
      <c r="D5" s="17" t="s">
        <v>9</v>
      </c>
      <c r="E5" s="18" t="s">
        <v>6</v>
      </c>
      <c r="F5" s="17" t="s">
        <v>0</v>
      </c>
      <c r="G5" s="10" t="s">
        <v>18</v>
      </c>
      <c r="H5" s="10" t="s">
        <v>10</v>
      </c>
      <c r="I5" s="10" t="s">
        <v>24</v>
      </c>
      <c r="J5" s="18" t="s">
        <v>12</v>
      </c>
      <c r="K5" s="18" t="s">
        <v>14</v>
      </c>
      <c r="L5" s="18" t="s">
        <v>11</v>
      </c>
      <c r="M5" s="29"/>
      <c r="N5" s="19" t="s">
        <v>8</v>
      </c>
      <c r="O5" s="20" t="s">
        <v>5</v>
      </c>
      <c r="P5" s="19" t="s">
        <v>15</v>
      </c>
      <c r="Q5" s="21"/>
    </row>
    <row r="6" spans="1:18" ht="9.75" customHeigh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R6" s="22"/>
    </row>
    <row r="7" spans="1:18" ht="15" x14ac:dyDescent="0.2">
      <c r="A7" s="20" t="s">
        <v>16</v>
      </c>
      <c r="B7" s="23">
        <f>ROUND(N7/12*$L$2,2)</f>
        <v>1506.23</v>
      </c>
      <c r="C7" s="23">
        <f>ROUND((O7*7.7)/12*$L$2,2)</f>
        <v>57.98</v>
      </c>
      <c r="D7" s="23">
        <f>ROUND((B7+C7)/12,2)</f>
        <v>130.35</v>
      </c>
      <c r="E7" s="23">
        <f>ROUND(P7/12*$L$2,2)</f>
        <v>128.85</v>
      </c>
      <c r="F7" s="23">
        <f>SUM(B7:E7)</f>
        <v>1823.4099999999999</v>
      </c>
      <c r="G7" s="23"/>
      <c r="H7" s="8">
        <f>ROUND(140*$L$2,2)</f>
        <v>140</v>
      </c>
      <c r="I7" s="8">
        <f>ROUND(600/12,2)</f>
        <v>50</v>
      </c>
      <c r="J7" s="7">
        <f>ROUND(F7+G7+H7+I7-(F7)*2%,2)</f>
        <v>1976.94</v>
      </c>
      <c r="K7" s="7">
        <f>ROUND((F7)*40.38%+(+H7+I7)*32.7%+(F7+G7+H7+I7)*1.61%,2)</f>
        <v>830.84</v>
      </c>
      <c r="L7" s="25">
        <f>J7+K7</f>
        <v>2807.78</v>
      </c>
      <c r="M7" s="26"/>
      <c r="N7" s="24">
        <v>18074.78</v>
      </c>
      <c r="O7" s="24">
        <v>90.36</v>
      </c>
      <c r="P7" s="38">
        <v>1546.16</v>
      </c>
      <c r="Q7" s="27"/>
      <c r="R7" s="28"/>
    </row>
    <row r="8" spans="1:18" ht="15" x14ac:dyDescent="0.2">
      <c r="A8" s="20" t="s">
        <v>17</v>
      </c>
      <c r="B8" s="23">
        <f>ROUND(N8/12*$L$2,2)</f>
        <v>1663.96</v>
      </c>
      <c r="C8" s="23">
        <f t="shared" ref="C8:C11" si="0">ROUND((O8*7.7)/12*$L$2,2)</f>
        <v>64.06</v>
      </c>
      <c r="D8" s="23">
        <f t="shared" ref="D8:D11" si="1">ROUND((B8+C8)/12,2)</f>
        <v>144</v>
      </c>
      <c r="E8" s="23">
        <f t="shared" ref="E8:E11" si="2">ROUND(P8/12*$L$2,2)</f>
        <v>128.85</v>
      </c>
      <c r="F8" s="23">
        <f>SUM(B8:E8)</f>
        <v>2000.87</v>
      </c>
      <c r="G8" s="23"/>
      <c r="H8" s="8">
        <f t="shared" ref="H8:H10" si="3">ROUND(140*$L$2,2)</f>
        <v>140</v>
      </c>
      <c r="I8" s="8">
        <f t="shared" ref="I8:I10" si="4">ROUND(600/12,2)</f>
        <v>50</v>
      </c>
      <c r="J8" s="7">
        <f t="shared" ref="J8:J11" si="5">ROUND(F8+G8+H8+I8-(F8)*2%,2)</f>
        <v>2150.85</v>
      </c>
      <c r="K8" s="7">
        <f t="shared" ref="K8:K10" si="6">ROUND((F8)*40.38%+(+H8+I8)*32.7%+(F8+G8+H8+I8)*1.61%,2)</f>
        <v>905.35</v>
      </c>
      <c r="L8" s="25">
        <f t="shared" ref="L8" si="7">J8+K8</f>
        <v>3056.2</v>
      </c>
      <c r="M8" s="26"/>
      <c r="N8" s="24">
        <v>19967.47</v>
      </c>
      <c r="O8" s="24">
        <v>99.84</v>
      </c>
      <c r="P8" s="38">
        <v>1546.16</v>
      </c>
      <c r="Q8" s="27"/>
      <c r="R8" s="28"/>
    </row>
    <row r="9" spans="1:18" ht="15" x14ac:dyDescent="0.2">
      <c r="A9" s="20" t="s">
        <v>1</v>
      </c>
      <c r="B9" s="23">
        <f>ROUND(N9/12*$L$2,2)</f>
        <v>1713.88</v>
      </c>
      <c r="C9" s="23">
        <f t="shared" si="0"/>
        <v>65.989999999999995</v>
      </c>
      <c r="D9" s="23">
        <f t="shared" si="1"/>
        <v>148.32</v>
      </c>
      <c r="E9" s="23">
        <f t="shared" si="2"/>
        <v>171.16</v>
      </c>
      <c r="F9" s="23">
        <f>SUM(B9:E9)</f>
        <v>2099.35</v>
      </c>
      <c r="G9" s="23"/>
      <c r="H9" s="8">
        <f t="shared" si="3"/>
        <v>140</v>
      </c>
      <c r="I9" s="8">
        <f t="shared" si="4"/>
        <v>50</v>
      </c>
      <c r="J9" s="7">
        <f t="shared" si="5"/>
        <v>2247.36</v>
      </c>
      <c r="K9" s="7">
        <f t="shared" si="6"/>
        <v>946.71</v>
      </c>
      <c r="L9" s="25">
        <f>J9+K9</f>
        <v>3194.07</v>
      </c>
      <c r="M9" s="26"/>
      <c r="N9" s="24">
        <v>20566.599999999999</v>
      </c>
      <c r="O9" s="24">
        <v>102.84</v>
      </c>
      <c r="P9" s="38">
        <v>2053.9700000000003</v>
      </c>
      <c r="Q9" s="27"/>
      <c r="R9" s="28"/>
    </row>
    <row r="10" spans="1:18" ht="15" x14ac:dyDescent="0.2">
      <c r="A10" s="20" t="s">
        <v>2</v>
      </c>
      <c r="B10" s="23">
        <f>ROUND(N10/12*$L$2,2)</f>
        <v>1991.87</v>
      </c>
      <c r="C10" s="23">
        <f t="shared" si="0"/>
        <v>76.69</v>
      </c>
      <c r="D10" s="23">
        <f t="shared" si="1"/>
        <v>172.38</v>
      </c>
      <c r="E10" s="23">
        <f t="shared" si="2"/>
        <v>236.85</v>
      </c>
      <c r="F10" s="23">
        <f>SUM(B10:E10)</f>
        <v>2477.79</v>
      </c>
      <c r="G10" s="23"/>
      <c r="H10" s="8">
        <f t="shared" si="3"/>
        <v>140</v>
      </c>
      <c r="I10" s="8">
        <f t="shared" si="4"/>
        <v>50</v>
      </c>
      <c r="J10" s="7">
        <f t="shared" si="5"/>
        <v>2618.23</v>
      </c>
      <c r="K10" s="7">
        <f t="shared" si="6"/>
        <v>1105.6099999999999</v>
      </c>
      <c r="L10" s="25">
        <f>J10+K10</f>
        <v>3723.84</v>
      </c>
      <c r="M10" s="26"/>
      <c r="N10" s="24">
        <v>23902.47</v>
      </c>
      <c r="O10" s="24">
        <v>119.52</v>
      </c>
      <c r="P10" s="38">
        <v>2842.16</v>
      </c>
      <c r="Q10" s="27"/>
      <c r="R10" s="28"/>
    </row>
    <row r="11" spans="1:18" ht="15" x14ac:dyDescent="0.2">
      <c r="A11" s="20" t="s">
        <v>3</v>
      </c>
      <c r="B11" s="23">
        <f>ROUND(N11/12*$L$2,2)</f>
        <v>2240.84</v>
      </c>
      <c r="C11" s="23">
        <f t="shared" si="0"/>
        <v>86.24</v>
      </c>
      <c r="D11" s="23">
        <f t="shared" si="1"/>
        <v>193.92</v>
      </c>
      <c r="E11" s="23">
        <f t="shared" si="2"/>
        <v>279.95</v>
      </c>
      <c r="F11" s="23">
        <f>SUM(B11:E11)</f>
        <v>2800.95</v>
      </c>
      <c r="G11" s="8">
        <f>ROUND(((3099)*1.15)/12,2)</f>
        <v>296.99</v>
      </c>
      <c r="H11" s="23"/>
      <c r="I11" s="8"/>
      <c r="J11" s="7">
        <f t="shared" si="5"/>
        <v>3041.92</v>
      </c>
      <c r="K11" s="7">
        <f>ROUND((F11)*40.38%+(+G11+H11+I11)*32.7%+(F11+G11+H11+I11)*1.61%+((B11+C11)-556.86*$L$2)*4.36%,2)</f>
        <v>1355.2</v>
      </c>
      <c r="L11" s="25">
        <f>J11+K11</f>
        <v>4397.12</v>
      </c>
      <c r="M11" s="26"/>
      <c r="N11" s="24">
        <v>26890.05</v>
      </c>
      <c r="O11" s="24">
        <v>134.4</v>
      </c>
      <c r="P11" s="38">
        <v>3359.4</v>
      </c>
      <c r="Q11" s="27"/>
      <c r="R11" s="28"/>
    </row>
    <row r="12" spans="1:18" ht="15" x14ac:dyDescent="0.2">
      <c r="B12" s="33"/>
      <c r="C12" s="33"/>
      <c r="D12" s="33"/>
      <c r="E12" s="33"/>
      <c r="F12" s="33"/>
      <c r="G12" s="34"/>
      <c r="H12" s="33"/>
      <c r="I12" s="34"/>
      <c r="J12" s="35"/>
      <c r="K12" s="35"/>
      <c r="L12" s="26"/>
      <c r="M12" s="26"/>
      <c r="N12" s="36"/>
      <c r="O12" s="36"/>
      <c r="P12" s="36"/>
      <c r="Q12" s="27"/>
      <c r="R12" s="28"/>
    </row>
    <row r="13" spans="1:18" ht="29.25" customHeight="1" x14ac:dyDescent="0.2">
      <c r="B13" s="14"/>
      <c r="C13" s="14"/>
      <c r="D13" s="14"/>
      <c r="F13" s="15"/>
      <c r="G13" s="15"/>
      <c r="H13" s="15"/>
      <c r="I13" s="15"/>
      <c r="J13" s="14"/>
      <c r="L13" s="39" t="s">
        <v>28</v>
      </c>
      <c r="M13" s="16"/>
      <c r="N13" s="13"/>
      <c r="O13" s="14"/>
      <c r="P13" s="14"/>
      <c r="Q13" s="14"/>
    </row>
    <row r="14" spans="1:18" ht="67.5" x14ac:dyDescent="0.2">
      <c r="A14" s="17" t="s">
        <v>13</v>
      </c>
      <c r="B14" s="18" t="s">
        <v>7</v>
      </c>
      <c r="C14" s="40" t="s">
        <v>27</v>
      </c>
      <c r="D14" s="17" t="s">
        <v>9</v>
      </c>
      <c r="E14" s="18" t="s">
        <v>6</v>
      </c>
      <c r="F14" s="17" t="s">
        <v>0</v>
      </c>
      <c r="G14" s="10" t="s">
        <v>18</v>
      </c>
      <c r="H14" s="10" t="s">
        <v>10</v>
      </c>
      <c r="I14" s="10" t="s">
        <v>24</v>
      </c>
      <c r="J14" s="18" t="s">
        <v>12</v>
      </c>
      <c r="K14" s="18" t="s">
        <v>14</v>
      </c>
      <c r="L14" s="18" t="s">
        <v>11</v>
      </c>
      <c r="M14" s="29"/>
      <c r="N14" s="19" t="s">
        <v>8</v>
      </c>
      <c r="O14" s="20" t="s">
        <v>5</v>
      </c>
      <c r="P14" s="19" t="s">
        <v>15</v>
      </c>
      <c r="Q14" s="21"/>
    </row>
    <row r="15" spans="1:18" ht="9.75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R15" s="22"/>
    </row>
    <row r="16" spans="1:18" ht="15" x14ac:dyDescent="0.2">
      <c r="A16" s="41" t="s">
        <v>29</v>
      </c>
      <c r="B16" s="23">
        <f>ROUND(N16/12*$L$2,2)</f>
        <v>1663.96</v>
      </c>
      <c r="C16" s="23">
        <f t="shared" ref="C16:C19" si="8">ROUND((O16*7.7)/12*$L$2,2)</f>
        <v>64.06</v>
      </c>
      <c r="D16" s="23">
        <f t="shared" ref="D16:D19" si="9">ROUND((B16+C16)/12,2)</f>
        <v>144</v>
      </c>
      <c r="E16" s="23">
        <f t="shared" ref="E16:E19" si="10">ROUND(P16/12*$L$2,2)</f>
        <v>128.85</v>
      </c>
      <c r="F16" s="23">
        <f>SUM(B16:E16)</f>
        <v>2000.87</v>
      </c>
      <c r="G16" s="23"/>
      <c r="H16" s="8">
        <f t="shared" ref="H16:H18" si="11">ROUND(140*$L$2,2)</f>
        <v>140</v>
      </c>
      <c r="I16" s="8">
        <f t="shared" ref="I16:I18" si="12">ROUND(600/12,2)</f>
        <v>50</v>
      </c>
      <c r="J16" s="7">
        <f t="shared" ref="J16:J19" si="13">ROUND(F16+G16+H16+I16-(F16)*2%,2)</f>
        <v>2150.85</v>
      </c>
      <c r="K16" s="7">
        <f t="shared" ref="K16:K18" si="14">ROUND((F16)*40.38%+(+H16+I16)*32.7%+(F16+G16+H16+I16)*1.61%,2)</f>
        <v>905.35</v>
      </c>
      <c r="L16" s="25">
        <f t="shared" ref="L16" si="15">J16+K16</f>
        <v>3056.2</v>
      </c>
      <c r="M16" s="26"/>
      <c r="N16" s="38">
        <v>19967.47</v>
      </c>
      <c r="O16" s="38">
        <v>99.84</v>
      </c>
      <c r="P16" s="38">
        <v>1546.16</v>
      </c>
      <c r="Q16" s="27"/>
      <c r="R16" s="28"/>
    </row>
    <row r="17" spans="1:18" ht="15" x14ac:dyDescent="0.2">
      <c r="A17" s="41" t="s">
        <v>30</v>
      </c>
      <c r="B17" s="23">
        <f>ROUND(N17/12*$L$2,2)</f>
        <v>1746.05</v>
      </c>
      <c r="C17" s="23">
        <f t="shared" si="8"/>
        <v>67.22</v>
      </c>
      <c r="D17" s="23">
        <f t="shared" si="9"/>
        <v>151.11000000000001</v>
      </c>
      <c r="E17" s="23">
        <f t="shared" si="10"/>
        <v>171.16</v>
      </c>
      <c r="F17" s="23">
        <f>SUM(B17:E17)</f>
        <v>2135.54</v>
      </c>
      <c r="G17" s="23"/>
      <c r="H17" s="8">
        <f t="shared" si="11"/>
        <v>140</v>
      </c>
      <c r="I17" s="8">
        <f t="shared" si="12"/>
        <v>50</v>
      </c>
      <c r="J17" s="7">
        <f t="shared" si="13"/>
        <v>2282.83</v>
      </c>
      <c r="K17" s="7">
        <f t="shared" si="14"/>
        <v>961.9</v>
      </c>
      <c r="L17" s="25">
        <f>J17+K17</f>
        <v>3244.73</v>
      </c>
      <c r="M17" s="26"/>
      <c r="N17" s="38">
        <v>20952.599999999999</v>
      </c>
      <c r="O17" s="38">
        <f>8.73*12</f>
        <v>104.76</v>
      </c>
      <c r="P17" s="38">
        <v>2053.9700000000003</v>
      </c>
      <c r="Q17" s="27"/>
      <c r="R17" s="28"/>
    </row>
    <row r="18" spans="1:18" ht="15" x14ac:dyDescent="0.2">
      <c r="A18" s="41" t="s">
        <v>31</v>
      </c>
      <c r="B18" s="23">
        <f>ROUND(N18/12*$L$2,2)</f>
        <v>1991.87</v>
      </c>
      <c r="C18" s="23">
        <f t="shared" si="8"/>
        <v>76.69</v>
      </c>
      <c r="D18" s="23">
        <f t="shared" si="9"/>
        <v>172.38</v>
      </c>
      <c r="E18" s="23">
        <f t="shared" si="10"/>
        <v>236.85</v>
      </c>
      <c r="F18" s="23">
        <f>SUM(B18:E18)</f>
        <v>2477.79</v>
      </c>
      <c r="G18" s="23"/>
      <c r="H18" s="8">
        <f t="shared" si="11"/>
        <v>140</v>
      </c>
      <c r="I18" s="8">
        <f t="shared" si="12"/>
        <v>50</v>
      </c>
      <c r="J18" s="7">
        <f t="shared" si="13"/>
        <v>2618.23</v>
      </c>
      <c r="K18" s="7">
        <f t="shared" si="14"/>
        <v>1105.6099999999999</v>
      </c>
      <c r="L18" s="25">
        <f>J18+K18</f>
        <v>3723.84</v>
      </c>
      <c r="M18" s="26"/>
      <c r="N18" s="38">
        <v>23902.47</v>
      </c>
      <c r="O18" s="38">
        <v>119.52</v>
      </c>
      <c r="P18" s="38">
        <v>2842.16</v>
      </c>
      <c r="Q18" s="27"/>
      <c r="R18" s="28"/>
    </row>
    <row r="19" spans="1:18" ht="15" x14ac:dyDescent="0.2">
      <c r="A19" s="41" t="s">
        <v>32</v>
      </c>
      <c r="B19" s="23">
        <f>ROUND(N19/12*$L$2,2)</f>
        <v>2240.84</v>
      </c>
      <c r="C19" s="23">
        <f t="shared" si="8"/>
        <v>86.24</v>
      </c>
      <c r="D19" s="23">
        <f t="shared" si="9"/>
        <v>193.92</v>
      </c>
      <c r="E19" s="23">
        <f t="shared" si="10"/>
        <v>279.95</v>
      </c>
      <c r="F19" s="23">
        <f>SUM(B19:E19)</f>
        <v>2800.95</v>
      </c>
      <c r="G19" s="8">
        <f>ROUND(((3099)*1.15)/12,2)</f>
        <v>296.99</v>
      </c>
      <c r="H19" s="23"/>
      <c r="I19" s="8"/>
      <c r="J19" s="7">
        <f t="shared" si="13"/>
        <v>3041.92</v>
      </c>
      <c r="K19" s="7">
        <f>ROUND((F19)*40.38%+(+G19+H19+I19)*32.7%+(F19+G19+H19+I19)*1.61%+((B19+C19)-556.86*$L$2)*4.36%,2)</f>
        <v>1355.2</v>
      </c>
      <c r="L19" s="25">
        <f>J19+K19</f>
        <v>4397.12</v>
      </c>
      <c r="M19" s="26"/>
      <c r="N19" s="38">
        <v>26890.05</v>
      </c>
      <c r="O19" s="38">
        <v>134.4</v>
      </c>
      <c r="P19" s="38">
        <v>3359.4</v>
      </c>
      <c r="Q19" s="27"/>
      <c r="R19" s="28"/>
    </row>
    <row r="20" spans="1:18" ht="15" x14ac:dyDescent="0.2">
      <c r="B20" s="33"/>
      <c r="C20" s="33"/>
      <c r="D20" s="33"/>
      <c r="E20" s="33"/>
      <c r="F20" s="33"/>
      <c r="G20" s="34"/>
      <c r="H20" s="33"/>
      <c r="I20" s="34"/>
      <c r="J20" s="35"/>
      <c r="K20" s="35"/>
      <c r="L20" s="26"/>
      <c r="M20" s="26"/>
      <c r="N20" s="36"/>
      <c r="O20" s="36"/>
      <c r="P20" s="36"/>
      <c r="Q20" s="27"/>
      <c r="R20" s="28"/>
    </row>
    <row r="22" spans="1:18" ht="15" x14ac:dyDescent="0.2">
      <c r="A22" s="42" t="s">
        <v>33</v>
      </c>
      <c r="B22" s="1" t="s">
        <v>39</v>
      </c>
      <c r="C22" s="1"/>
      <c r="D22" s="32"/>
      <c r="E22" s="1"/>
      <c r="F22" s="1"/>
      <c r="O22" s="30"/>
      <c r="P22" s="30"/>
      <c r="Q22" s="31"/>
      <c r="R22" s="28"/>
    </row>
    <row r="23" spans="1:18" x14ac:dyDescent="0.2">
      <c r="B23" s="1"/>
      <c r="C23" s="1"/>
      <c r="D23" s="42" t="s">
        <v>38</v>
      </c>
      <c r="E23" s="1" t="s">
        <v>19</v>
      </c>
      <c r="F23" s="1"/>
    </row>
    <row r="24" spans="1:18" x14ac:dyDescent="0.2">
      <c r="B24" s="1"/>
      <c r="C24" s="1"/>
      <c r="D24" s="42" t="s">
        <v>34</v>
      </c>
      <c r="E24" s="1" t="s">
        <v>20</v>
      </c>
      <c r="F24" s="1"/>
    </row>
    <row r="25" spans="1:18" x14ac:dyDescent="0.2">
      <c r="B25" s="1"/>
      <c r="C25" s="1"/>
      <c r="D25" s="42" t="s">
        <v>35</v>
      </c>
      <c r="E25" s="1" t="s">
        <v>21</v>
      </c>
      <c r="F25" s="1"/>
    </row>
    <row r="26" spans="1:18" x14ac:dyDescent="0.2">
      <c r="B26" s="1"/>
      <c r="C26" s="1"/>
      <c r="D26" s="42" t="s">
        <v>36</v>
      </c>
      <c r="E26" s="1" t="s">
        <v>22</v>
      </c>
      <c r="F26" s="1"/>
    </row>
    <row r="27" spans="1:18" x14ac:dyDescent="0.2">
      <c r="B27" s="1"/>
      <c r="C27" s="1"/>
      <c r="D27" s="42" t="s">
        <v>37</v>
      </c>
      <c r="E27" s="1" t="s">
        <v>23</v>
      </c>
      <c r="F27" s="1"/>
    </row>
  </sheetData>
  <printOptions horizontalCentered="1"/>
  <pageMargins left="0" right="0" top="0.98425196850393704" bottom="0.98425196850393704" header="0.51181102362204722" footer="0.51181102362204722"/>
  <pageSetup paperSize="9" scale="68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832B-DBC4-48E4-BEDA-80F3CCAC66E4}">
  <sheetPr>
    <pageSetUpPr fitToPage="1"/>
  </sheetPr>
  <dimension ref="A1:R27"/>
  <sheetViews>
    <sheetView view="pageBreakPreview" zoomScaleSheetLayoutView="100" workbookViewId="0">
      <selection activeCell="B22" sqref="B22"/>
    </sheetView>
  </sheetViews>
  <sheetFormatPr defaultColWidth="12.28515625" defaultRowHeight="12.75" x14ac:dyDescent="0.2"/>
  <cols>
    <col min="1" max="1" width="22.5703125" style="6" customWidth="1"/>
    <col min="2" max="2" width="13.7109375" style="6" customWidth="1"/>
    <col min="3" max="4" width="9.7109375" style="6" bestFit="1" customWidth="1"/>
    <col min="5" max="5" width="14.28515625" style="6" customWidth="1"/>
    <col min="6" max="8" width="14.85546875" style="6" customWidth="1"/>
    <col min="9" max="9" width="16" style="6" customWidth="1"/>
    <col min="10" max="10" width="11.28515625" style="6" bestFit="1" customWidth="1"/>
    <col min="11" max="11" width="12.28515625" style="6" customWidth="1"/>
    <col min="12" max="12" width="14.42578125" style="6" customWidth="1"/>
    <col min="13" max="13" width="13.28515625" style="6" customWidth="1"/>
    <col min="14" max="14" width="13.85546875" style="6" customWidth="1"/>
    <col min="15" max="15" width="9.42578125" style="6" bestFit="1" customWidth="1"/>
    <col min="16" max="16" width="11.28515625" style="6" bestFit="1" customWidth="1"/>
    <col min="17" max="17" width="16.42578125" style="6" bestFit="1" customWidth="1"/>
    <col min="18" max="16384" width="12.28515625" style="6"/>
  </cols>
  <sheetData>
    <row r="1" spans="1:18" s="1" customFormat="1" ht="14.25" x14ac:dyDescent="0.2">
      <c r="A1" s="11" t="s">
        <v>25</v>
      </c>
      <c r="B1" s="11"/>
      <c r="C1" s="11"/>
      <c r="D1" s="11"/>
      <c r="E1" s="11"/>
      <c r="F1" s="11"/>
      <c r="G1" s="11"/>
      <c r="J1" s="4"/>
      <c r="K1" s="2"/>
    </row>
    <row r="2" spans="1:18" s="1" customFormat="1" ht="14.25" x14ac:dyDescent="0.2">
      <c r="A2" s="5"/>
      <c r="B2" s="11" t="s">
        <v>4</v>
      </c>
      <c r="C2" s="11"/>
      <c r="D2" s="11"/>
      <c r="E2" s="11"/>
      <c r="F2" s="11"/>
      <c r="G2" s="11"/>
      <c r="H2" s="11"/>
      <c r="I2" s="11"/>
      <c r="J2" s="9"/>
      <c r="L2" s="37">
        <v>0.83330000000000004</v>
      </c>
      <c r="M2" s="2"/>
      <c r="N2" s="2"/>
      <c r="O2" s="3"/>
    </row>
    <row r="4" spans="1:18" ht="29.25" customHeight="1" x14ac:dyDescent="0.2">
      <c r="B4" s="14"/>
      <c r="C4" s="14"/>
      <c r="D4" s="14"/>
      <c r="F4" s="15"/>
      <c r="G4" s="15"/>
      <c r="H4" s="15"/>
      <c r="I4" s="15"/>
      <c r="J4" s="14"/>
      <c r="L4" s="39" t="s">
        <v>26</v>
      </c>
      <c r="M4" s="16"/>
      <c r="N4" s="13"/>
      <c r="O4" s="14"/>
      <c r="P4" s="14"/>
      <c r="Q4" s="14"/>
    </row>
    <row r="5" spans="1:18" ht="67.5" x14ac:dyDescent="0.2">
      <c r="A5" s="17" t="s">
        <v>13</v>
      </c>
      <c r="B5" s="18" t="s">
        <v>7</v>
      </c>
      <c r="C5" s="40" t="s">
        <v>27</v>
      </c>
      <c r="D5" s="17" t="s">
        <v>9</v>
      </c>
      <c r="E5" s="18" t="s">
        <v>6</v>
      </c>
      <c r="F5" s="17" t="s">
        <v>0</v>
      </c>
      <c r="G5" s="10" t="s">
        <v>18</v>
      </c>
      <c r="H5" s="10" t="s">
        <v>10</v>
      </c>
      <c r="I5" s="10" t="s">
        <v>24</v>
      </c>
      <c r="J5" s="18" t="s">
        <v>12</v>
      </c>
      <c r="K5" s="18" t="s">
        <v>14</v>
      </c>
      <c r="L5" s="18" t="s">
        <v>11</v>
      </c>
      <c r="M5" s="29"/>
      <c r="N5" s="19" t="s">
        <v>8</v>
      </c>
      <c r="O5" s="20" t="s">
        <v>5</v>
      </c>
      <c r="P5" s="19" t="s">
        <v>15</v>
      </c>
      <c r="Q5" s="21"/>
    </row>
    <row r="6" spans="1:18" ht="9.75" customHeigh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R6" s="22"/>
    </row>
    <row r="7" spans="1:18" ht="15" x14ac:dyDescent="0.2">
      <c r="A7" s="20" t="s">
        <v>16</v>
      </c>
      <c r="B7" s="23">
        <f>ROUND(N7/12*$L$2,2)</f>
        <v>1255.1400000000001</v>
      </c>
      <c r="C7" s="23">
        <f>ROUND((O7*7.7)/12*$L$2,2)</f>
        <v>48.32</v>
      </c>
      <c r="D7" s="23">
        <f>ROUND((B7+C7)/12,2)</f>
        <v>108.62</v>
      </c>
      <c r="E7" s="23">
        <f>ROUND(P7/12*$L$2,2)</f>
        <v>107.37</v>
      </c>
      <c r="F7" s="23">
        <f>SUM(B7:E7)</f>
        <v>1519.4499999999998</v>
      </c>
      <c r="G7" s="23"/>
      <c r="H7" s="8">
        <f>ROUND(140*$L$2,2)</f>
        <v>116.66</v>
      </c>
      <c r="I7" s="8">
        <f>ROUND(600/12,2)</f>
        <v>50</v>
      </c>
      <c r="J7" s="7">
        <f>ROUND(F7+G7+H7+I7-(F7)*2%,2)</f>
        <v>1655.72</v>
      </c>
      <c r="K7" s="7">
        <f>ROUND((F7)*40.38%+(+H7+I7)*32.7%+(F7+G7+H7+I7)*1.61%,2)</f>
        <v>695.2</v>
      </c>
      <c r="L7" s="25">
        <f>J7+K7</f>
        <v>2350.92</v>
      </c>
      <c r="M7" s="26"/>
      <c r="N7" s="24">
        <v>18074.78</v>
      </c>
      <c r="O7" s="24">
        <v>90.36</v>
      </c>
      <c r="P7" s="38">
        <v>1546.16</v>
      </c>
      <c r="Q7" s="27"/>
      <c r="R7" s="28"/>
    </row>
    <row r="8" spans="1:18" ht="15" x14ac:dyDescent="0.2">
      <c r="A8" s="20" t="s">
        <v>17</v>
      </c>
      <c r="B8" s="23">
        <f>ROUND(N8/12*$L$2,2)</f>
        <v>1386.57</v>
      </c>
      <c r="C8" s="23">
        <f t="shared" ref="C8:C11" si="0">ROUND((O8*7.7)/12*$L$2,2)</f>
        <v>53.38</v>
      </c>
      <c r="D8" s="23">
        <f t="shared" ref="D8:D11" si="1">ROUND((B8+C8)/12,2)</f>
        <v>120</v>
      </c>
      <c r="E8" s="23">
        <f t="shared" ref="E8:E11" si="2">ROUND(P8/12*$L$2,2)</f>
        <v>107.37</v>
      </c>
      <c r="F8" s="23">
        <f>SUM(B8:E8)</f>
        <v>1667.3200000000002</v>
      </c>
      <c r="G8" s="23"/>
      <c r="H8" s="8">
        <f t="shared" ref="H8:H10" si="3">ROUND(140*$L$2,2)</f>
        <v>116.66</v>
      </c>
      <c r="I8" s="8">
        <f t="shared" ref="I8:I10" si="4">ROUND(600/12,2)</f>
        <v>50</v>
      </c>
      <c r="J8" s="7">
        <f t="shared" ref="J8:J11" si="5">ROUND(F8+G8+H8+I8-(F8)*2%,2)</f>
        <v>1800.63</v>
      </c>
      <c r="K8" s="7">
        <f t="shared" ref="K8:K10" si="6">ROUND((F8)*40.38%+(+H8+I8)*32.7%+(F8+G8+H8+I8)*1.61%,2)</f>
        <v>757.29</v>
      </c>
      <c r="L8" s="25">
        <f t="shared" ref="L8" si="7">J8+K8</f>
        <v>2557.92</v>
      </c>
      <c r="M8" s="26"/>
      <c r="N8" s="24">
        <v>19967.47</v>
      </c>
      <c r="O8" s="24">
        <v>99.84</v>
      </c>
      <c r="P8" s="38">
        <v>1546.16</v>
      </c>
      <c r="Q8" s="27"/>
      <c r="R8" s="28"/>
    </row>
    <row r="9" spans="1:18" ht="15" x14ac:dyDescent="0.2">
      <c r="A9" s="20" t="s">
        <v>1</v>
      </c>
      <c r="B9" s="23">
        <f>ROUND(N9/12*$L$2,2)</f>
        <v>1428.18</v>
      </c>
      <c r="C9" s="23">
        <f t="shared" si="0"/>
        <v>54.99</v>
      </c>
      <c r="D9" s="23">
        <f t="shared" si="1"/>
        <v>123.6</v>
      </c>
      <c r="E9" s="23">
        <f t="shared" si="2"/>
        <v>142.63</v>
      </c>
      <c r="F9" s="23">
        <f>SUM(B9:E9)</f>
        <v>1749.4</v>
      </c>
      <c r="G9" s="23"/>
      <c r="H9" s="8">
        <f t="shared" si="3"/>
        <v>116.66</v>
      </c>
      <c r="I9" s="8">
        <f t="shared" si="4"/>
        <v>50</v>
      </c>
      <c r="J9" s="7">
        <f t="shared" si="5"/>
        <v>1881.07</v>
      </c>
      <c r="K9" s="7">
        <f t="shared" si="6"/>
        <v>791.75</v>
      </c>
      <c r="L9" s="25">
        <f>J9+K9</f>
        <v>2672.8199999999997</v>
      </c>
      <c r="M9" s="26"/>
      <c r="N9" s="24">
        <v>20566.599999999999</v>
      </c>
      <c r="O9" s="24">
        <v>102.84</v>
      </c>
      <c r="P9" s="38">
        <v>2053.9700000000003</v>
      </c>
      <c r="Q9" s="27"/>
      <c r="R9" s="28"/>
    </row>
    <row r="10" spans="1:18" ht="15" x14ac:dyDescent="0.2">
      <c r="A10" s="20" t="s">
        <v>2</v>
      </c>
      <c r="B10" s="23">
        <f>ROUND(N10/12*$L$2,2)</f>
        <v>1659.83</v>
      </c>
      <c r="C10" s="23">
        <f t="shared" si="0"/>
        <v>63.91</v>
      </c>
      <c r="D10" s="23">
        <f t="shared" si="1"/>
        <v>143.65</v>
      </c>
      <c r="E10" s="23">
        <f t="shared" si="2"/>
        <v>197.36</v>
      </c>
      <c r="F10" s="23">
        <f>SUM(B10:E10)</f>
        <v>2064.75</v>
      </c>
      <c r="G10" s="23"/>
      <c r="H10" s="8">
        <f t="shared" si="3"/>
        <v>116.66</v>
      </c>
      <c r="I10" s="8">
        <f t="shared" si="4"/>
        <v>50</v>
      </c>
      <c r="J10" s="7">
        <f t="shared" si="5"/>
        <v>2190.12</v>
      </c>
      <c r="K10" s="7">
        <f t="shared" si="6"/>
        <v>924.17</v>
      </c>
      <c r="L10" s="25">
        <f>J10+K10</f>
        <v>3114.29</v>
      </c>
      <c r="M10" s="26"/>
      <c r="N10" s="24">
        <v>23902.47</v>
      </c>
      <c r="O10" s="24">
        <v>119.52</v>
      </c>
      <c r="P10" s="38">
        <v>2842.16</v>
      </c>
      <c r="Q10" s="27"/>
      <c r="R10" s="28"/>
    </row>
    <row r="11" spans="1:18" ht="15" x14ac:dyDescent="0.2">
      <c r="A11" s="20" t="s">
        <v>3</v>
      </c>
      <c r="B11" s="23">
        <f>ROUND(N11/12*$L$2,2)</f>
        <v>1867.29</v>
      </c>
      <c r="C11" s="23">
        <f t="shared" si="0"/>
        <v>71.86</v>
      </c>
      <c r="D11" s="23">
        <f t="shared" si="1"/>
        <v>161.6</v>
      </c>
      <c r="E11" s="23">
        <f t="shared" si="2"/>
        <v>233.28</v>
      </c>
      <c r="F11" s="23">
        <f>SUM(B11:E11)</f>
        <v>2334.0300000000002</v>
      </c>
      <c r="G11" s="8">
        <f>ROUND(((3099)*1.15)/12,2)</f>
        <v>296.99</v>
      </c>
      <c r="H11" s="23"/>
      <c r="I11" s="8"/>
      <c r="J11" s="7">
        <f t="shared" si="5"/>
        <v>2584.34</v>
      </c>
      <c r="K11" s="7">
        <f>ROUND((F11)*40.38%+(+G11+H11+I11)*32.7%+(F11+G11+H11+I11)*1.61%+((B11+C11)-556.86*$L$2)*4.36%,2)</f>
        <v>1146.27</v>
      </c>
      <c r="L11" s="25">
        <f>J11+K11</f>
        <v>3730.61</v>
      </c>
      <c r="M11" s="26"/>
      <c r="N11" s="24">
        <v>26890.05</v>
      </c>
      <c r="O11" s="24">
        <v>134.4</v>
      </c>
      <c r="P11" s="38">
        <v>3359.4</v>
      </c>
      <c r="Q11" s="27"/>
      <c r="R11" s="28"/>
    </row>
    <row r="12" spans="1:18" ht="15" x14ac:dyDescent="0.2">
      <c r="B12" s="33"/>
      <c r="C12" s="33"/>
      <c r="D12" s="33"/>
      <c r="E12" s="33"/>
      <c r="F12" s="33"/>
      <c r="G12" s="34"/>
      <c r="H12" s="33"/>
      <c r="I12" s="34"/>
      <c r="J12" s="35"/>
      <c r="K12" s="35"/>
      <c r="L12" s="26"/>
      <c r="M12" s="26"/>
      <c r="N12" s="36"/>
      <c r="O12" s="36"/>
      <c r="P12" s="36"/>
      <c r="Q12" s="27"/>
      <c r="R12" s="28"/>
    </row>
    <row r="13" spans="1:18" ht="29.25" customHeight="1" x14ac:dyDescent="0.2">
      <c r="B13" s="14"/>
      <c r="C13" s="14"/>
      <c r="D13" s="14"/>
      <c r="F13" s="15"/>
      <c r="G13" s="15"/>
      <c r="H13" s="15"/>
      <c r="I13" s="15"/>
      <c r="J13" s="14"/>
      <c r="L13" s="39" t="s">
        <v>28</v>
      </c>
      <c r="M13" s="16"/>
      <c r="N13" s="13"/>
      <c r="O13" s="14"/>
      <c r="P13" s="14"/>
      <c r="Q13" s="14"/>
    </row>
    <row r="14" spans="1:18" ht="67.5" x14ac:dyDescent="0.2">
      <c r="A14" s="17" t="s">
        <v>13</v>
      </c>
      <c r="B14" s="18" t="s">
        <v>7</v>
      </c>
      <c r="C14" s="40" t="s">
        <v>27</v>
      </c>
      <c r="D14" s="17" t="s">
        <v>9</v>
      </c>
      <c r="E14" s="18" t="s">
        <v>6</v>
      </c>
      <c r="F14" s="17" t="s">
        <v>0</v>
      </c>
      <c r="G14" s="10" t="s">
        <v>18</v>
      </c>
      <c r="H14" s="10" t="s">
        <v>10</v>
      </c>
      <c r="I14" s="10" t="s">
        <v>24</v>
      </c>
      <c r="J14" s="18" t="s">
        <v>12</v>
      </c>
      <c r="K14" s="18" t="s">
        <v>14</v>
      </c>
      <c r="L14" s="18" t="s">
        <v>11</v>
      </c>
      <c r="M14" s="29"/>
      <c r="N14" s="19" t="s">
        <v>8</v>
      </c>
      <c r="O14" s="20" t="s">
        <v>5</v>
      </c>
      <c r="P14" s="19" t="s">
        <v>15</v>
      </c>
      <c r="Q14" s="21"/>
    </row>
    <row r="15" spans="1:18" ht="9.75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R15" s="22"/>
    </row>
    <row r="16" spans="1:18" ht="15" x14ac:dyDescent="0.2">
      <c r="A16" s="41" t="s">
        <v>29</v>
      </c>
      <c r="B16" s="23">
        <f>ROUND(N16/12*$L$2,2)</f>
        <v>1386.57</v>
      </c>
      <c r="C16" s="23">
        <f t="shared" ref="C16:C19" si="8">ROUND((O16*7.7)/12*$L$2,2)</f>
        <v>53.38</v>
      </c>
      <c r="D16" s="23">
        <f t="shared" ref="D16:D19" si="9">ROUND((B16+C16)/12,2)</f>
        <v>120</v>
      </c>
      <c r="E16" s="23">
        <f t="shared" ref="E16:E19" si="10">ROUND(P16/12*$L$2,2)</f>
        <v>107.37</v>
      </c>
      <c r="F16" s="23">
        <f>SUM(B16:E16)</f>
        <v>1667.3200000000002</v>
      </c>
      <c r="G16" s="23"/>
      <c r="H16" s="8">
        <f t="shared" ref="H16:H18" si="11">ROUND(140*$L$2,2)</f>
        <v>116.66</v>
      </c>
      <c r="I16" s="8">
        <f t="shared" ref="I16:I18" si="12">ROUND(600/12,2)</f>
        <v>50</v>
      </c>
      <c r="J16" s="7">
        <f t="shared" ref="J16:J19" si="13">ROUND(F16+G16+H16+I16-(F16)*2%,2)</f>
        <v>1800.63</v>
      </c>
      <c r="K16" s="7">
        <f t="shared" ref="K16:K18" si="14">ROUND((F16)*40.38%+(+H16+I16)*32.7%+(F16+G16+H16+I16)*1.61%,2)</f>
        <v>757.29</v>
      </c>
      <c r="L16" s="25">
        <f t="shared" ref="L16" si="15">J16+K16</f>
        <v>2557.92</v>
      </c>
      <c r="M16" s="26"/>
      <c r="N16" s="38">
        <v>19967.47</v>
      </c>
      <c r="O16" s="38">
        <v>99.84</v>
      </c>
      <c r="P16" s="38">
        <v>1546.16</v>
      </c>
      <c r="Q16" s="27"/>
      <c r="R16" s="28"/>
    </row>
    <row r="17" spans="1:18" ht="15" x14ac:dyDescent="0.2">
      <c r="A17" s="41" t="s">
        <v>30</v>
      </c>
      <c r="B17" s="23">
        <f>ROUND(N17/12*$L$2,2)</f>
        <v>1454.98</v>
      </c>
      <c r="C17" s="23">
        <f t="shared" si="8"/>
        <v>56.02</v>
      </c>
      <c r="D17" s="23">
        <f t="shared" si="9"/>
        <v>125.92</v>
      </c>
      <c r="E17" s="23">
        <f t="shared" si="10"/>
        <v>142.63</v>
      </c>
      <c r="F17" s="23">
        <f>SUM(B17:E17)</f>
        <v>1779.5500000000002</v>
      </c>
      <c r="G17" s="23"/>
      <c r="H17" s="8">
        <f t="shared" si="11"/>
        <v>116.66</v>
      </c>
      <c r="I17" s="8">
        <f t="shared" si="12"/>
        <v>50</v>
      </c>
      <c r="J17" s="7">
        <f t="shared" si="13"/>
        <v>1910.62</v>
      </c>
      <c r="K17" s="7">
        <f t="shared" si="14"/>
        <v>804.41</v>
      </c>
      <c r="L17" s="25">
        <f>J17+K17</f>
        <v>2715.0299999999997</v>
      </c>
      <c r="M17" s="26"/>
      <c r="N17" s="38">
        <v>20952.599999999999</v>
      </c>
      <c r="O17" s="38">
        <f>8.73*12</f>
        <v>104.76</v>
      </c>
      <c r="P17" s="38">
        <v>2053.9700000000003</v>
      </c>
      <c r="Q17" s="27"/>
      <c r="R17" s="28"/>
    </row>
    <row r="18" spans="1:18" ht="15" x14ac:dyDescent="0.2">
      <c r="A18" s="41" t="s">
        <v>31</v>
      </c>
      <c r="B18" s="23">
        <f>ROUND(N18/12*$L$2,2)</f>
        <v>1659.83</v>
      </c>
      <c r="C18" s="23">
        <f t="shared" si="8"/>
        <v>63.91</v>
      </c>
      <c r="D18" s="23">
        <f t="shared" si="9"/>
        <v>143.65</v>
      </c>
      <c r="E18" s="23">
        <f t="shared" si="10"/>
        <v>197.36</v>
      </c>
      <c r="F18" s="23">
        <f>SUM(B18:E18)</f>
        <v>2064.75</v>
      </c>
      <c r="G18" s="23"/>
      <c r="H18" s="8">
        <f t="shared" si="11"/>
        <v>116.66</v>
      </c>
      <c r="I18" s="8">
        <f t="shared" si="12"/>
        <v>50</v>
      </c>
      <c r="J18" s="7">
        <f t="shared" si="13"/>
        <v>2190.12</v>
      </c>
      <c r="K18" s="7">
        <f t="shared" si="14"/>
        <v>924.17</v>
      </c>
      <c r="L18" s="25">
        <f>J18+K18</f>
        <v>3114.29</v>
      </c>
      <c r="M18" s="26"/>
      <c r="N18" s="38">
        <v>23902.47</v>
      </c>
      <c r="O18" s="38">
        <v>119.52</v>
      </c>
      <c r="P18" s="38">
        <v>2842.16</v>
      </c>
      <c r="Q18" s="27"/>
      <c r="R18" s="28"/>
    </row>
    <row r="19" spans="1:18" ht="15" x14ac:dyDescent="0.2">
      <c r="A19" s="41" t="s">
        <v>32</v>
      </c>
      <c r="B19" s="23">
        <f>ROUND(N19/12*$L$2,2)</f>
        <v>1867.29</v>
      </c>
      <c r="C19" s="23">
        <f t="shared" si="8"/>
        <v>71.86</v>
      </c>
      <c r="D19" s="23">
        <f t="shared" si="9"/>
        <v>161.6</v>
      </c>
      <c r="E19" s="23">
        <f t="shared" si="10"/>
        <v>233.28</v>
      </c>
      <c r="F19" s="23">
        <f>SUM(B19:E19)</f>
        <v>2334.0300000000002</v>
      </c>
      <c r="G19" s="8">
        <f>ROUND(((3099)*1.15)/12,2)</f>
        <v>296.99</v>
      </c>
      <c r="H19" s="23"/>
      <c r="I19" s="8"/>
      <c r="J19" s="7">
        <f t="shared" si="13"/>
        <v>2584.34</v>
      </c>
      <c r="K19" s="7">
        <f>ROUND((F19)*40.38%+(+G19+H19+I19)*32.7%+(F19+G19+H19+I19)*1.61%+((B19+C19)-556.86*$L$2)*4.36%,2)</f>
        <v>1146.27</v>
      </c>
      <c r="L19" s="25">
        <f>J19+K19</f>
        <v>3730.61</v>
      </c>
      <c r="M19" s="26"/>
      <c r="N19" s="38">
        <v>26890.05</v>
      </c>
      <c r="O19" s="38">
        <v>134.4</v>
      </c>
      <c r="P19" s="38">
        <v>3359.4</v>
      </c>
      <c r="Q19" s="27"/>
      <c r="R19" s="28"/>
    </row>
    <row r="20" spans="1:18" ht="15" x14ac:dyDescent="0.2">
      <c r="B20" s="33"/>
      <c r="C20" s="33"/>
      <c r="D20" s="33"/>
      <c r="E20" s="33"/>
      <c r="F20" s="33"/>
      <c r="G20" s="34"/>
      <c r="H20" s="33"/>
      <c r="I20" s="34"/>
      <c r="J20" s="35"/>
      <c r="K20" s="35"/>
      <c r="L20" s="26"/>
      <c r="M20" s="26"/>
      <c r="N20" s="36"/>
      <c r="O20" s="36"/>
      <c r="P20" s="36"/>
      <c r="Q20" s="27"/>
      <c r="R20" s="28"/>
    </row>
    <row r="22" spans="1:18" ht="15" x14ac:dyDescent="0.2">
      <c r="A22" s="42" t="s">
        <v>33</v>
      </c>
      <c r="B22" s="1" t="s">
        <v>39</v>
      </c>
      <c r="C22" s="1"/>
      <c r="D22" s="32"/>
      <c r="E22" s="1"/>
      <c r="F22" s="1"/>
      <c r="O22" s="30"/>
      <c r="P22" s="30"/>
      <c r="Q22" s="31"/>
      <c r="R22" s="28"/>
    </row>
    <row r="23" spans="1:18" x14ac:dyDescent="0.2">
      <c r="B23" s="1"/>
      <c r="C23" s="1"/>
      <c r="D23" s="42" t="s">
        <v>38</v>
      </c>
      <c r="E23" s="1" t="s">
        <v>19</v>
      </c>
      <c r="F23" s="1"/>
    </row>
    <row r="24" spans="1:18" x14ac:dyDescent="0.2">
      <c r="B24" s="1"/>
      <c r="C24" s="1"/>
      <c r="D24" s="42" t="s">
        <v>34</v>
      </c>
      <c r="E24" s="1" t="s">
        <v>20</v>
      </c>
      <c r="F24" s="1"/>
    </row>
    <row r="25" spans="1:18" x14ac:dyDescent="0.2">
      <c r="B25" s="1"/>
      <c r="C25" s="1"/>
      <c r="D25" s="42" t="s">
        <v>35</v>
      </c>
      <c r="E25" s="1" t="s">
        <v>21</v>
      </c>
      <c r="F25" s="1"/>
    </row>
    <row r="26" spans="1:18" x14ac:dyDescent="0.2">
      <c r="B26" s="1"/>
      <c r="C26" s="1"/>
      <c r="D26" s="42" t="s">
        <v>36</v>
      </c>
      <c r="E26" s="1" t="s">
        <v>22</v>
      </c>
      <c r="F26" s="1"/>
    </row>
    <row r="27" spans="1:18" x14ac:dyDescent="0.2">
      <c r="B27" s="1"/>
      <c r="C27" s="1"/>
      <c r="D27" s="42" t="s">
        <v>37</v>
      </c>
      <c r="E27" s="1" t="s">
        <v>23</v>
      </c>
      <c r="F27" s="1"/>
    </row>
  </sheetData>
  <printOptions horizontalCentered="1"/>
  <pageMargins left="0" right="0" top="0.98425196850393704" bottom="0.98425196850393704" header="0.51181102362204722" footer="0.51181102362204722"/>
  <pageSetup paperSize="9" scale="68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E309-B7EA-4FFA-A1CA-EBBC073277AF}">
  <sheetPr>
    <pageSetUpPr fitToPage="1"/>
  </sheetPr>
  <dimension ref="A1:R27"/>
  <sheetViews>
    <sheetView view="pageBreakPreview" zoomScaleSheetLayoutView="100" workbookViewId="0">
      <selection activeCell="B22" sqref="B22"/>
    </sheetView>
  </sheetViews>
  <sheetFormatPr defaultColWidth="12.28515625" defaultRowHeight="12.75" x14ac:dyDescent="0.2"/>
  <cols>
    <col min="1" max="1" width="22.5703125" style="6" customWidth="1"/>
    <col min="2" max="2" width="13.7109375" style="6" customWidth="1"/>
    <col min="3" max="4" width="9.7109375" style="6" bestFit="1" customWidth="1"/>
    <col min="5" max="5" width="14.28515625" style="6" customWidth="1"/>
    <col min="6" max="8" width="14.85546875" style="6" customWidth="1"/>
    <col min="9" max="9" width="16" style="6" customWidth="1"/>
    <col min="10" max="10" width="11.28515625" style="6" bestFit="1" customWidth="1"/>
    <col min="11" max="11" width="12.28515625" style="6" customWidth="1"/>
    <col min="12" max="12" width="14.42578125" style="6" customWidth="1"/>
    <col min="13" max="13" width="13.28515625" style="6" customWidth="1"/>
    <col min="14" max="14" width="13.85546875" style="6" customWidth="1"/>
    <col min="15" max="15" width="9.42578125" style="6" bestFit="1" customWidth="1"/>
    <col min="16" max="16" width="11.28515625" style="6" bestFit="1" customWidth="1"/>
    <col min="17" max="17" width="16.42578125" style="6" bestFit="1" customWidth="1"/>
    <col min="18" max="16384" width="12.28515625" style="6"/>
  </cols>
  <sheetData>
    <row r="1" spans="1:18" s="1" customFormat="1" ht="14.25" x14ac:dyDescent="0.2">
      <c r="A1" s="11" t="s">
        <v>25</v>
      </c>
      <c r="B1" s="11"/>
      <c r="C1" s="11"/>
      <c r="D1" s="11"/>
      <c r="E1" s="11"/>
      <c r="F1" s="11"/>
      <c r="G1" s="11"/>
      <c r="J1" s="4"/>
      <c r="K1" s="2"/>
    </row>
    <row r="2" spans="1:18" s="1" customFormat="1" ht="14.25" x14ac:dyDescent="0.2">
      <c r="A2" s="5"/>
      <c r="B2" s="11" t="s">
        <v>4</v>
      </c>
      <c r="C2" s="11"/>
      <c r="D2" s="11"/>
      <c r="E2" s="11"/>
      <c r="F2" s="11"/>
      <c r="G2" s="11"/>
      <c r="H2" s="11"/>
      <c r="I2" s="11"/>
      <c r="J2" s="9"/>
      <c r="L2" s="37">
        <v>0.66659999999999997</v>
      </c>
      <c r="M2" s="2"/>
      <c r="N2" s="2"/>
      <c r="O2" s="3"/>
    </row>
    <row r="4" spans="1:18" ht="29.25" customHeight="1" x14ac:dyDescent="0.2">
      <c r="B4" s="14"/>
      <c r="C4" s="14"/>
      <c r="D4" s="14"/>
      <c r="F4" s="15"/>
      <c r="G4" s="15"/>
      <c r="H4" s="15"/>
      <c r="I4" s="15"/>
      <c r="J4" s="14"/>
      <c r="L4" s="39" t="s">
        <v>26</v>
      </c>
      <c r="M4" s="16"/>
      <c r="N4" s="13"/>
      <c r="O4" s="14"/>
      <c r="P4" s="14"/>
      <c r="Q4" s="14"/>
    </row>
    <row r="5" spans="1:18" ht="67.5" x14ac:dyDescent="0.2">
      <c r="A5" s="17" t="s">
        <v>13</v>
      </c>
      <c r="B5" s="18" t="s">
        <v>7</v>
      </c>
      <c r="C5" s="40" t="s">
        <v>27</v>
      </c>
      <c r="D5" s="17" t="s">
        <v>9</v>
      </c>
      <c r="E5" s="18" t="s">
        <v>6</v>
      </c>
      <c r="F5" s="17" t="s">
        <v>0</v>
      </c>
      <c r="G5" s="10" t="s">
        <v>18</v>
      </c>
      <c r="H5" s="10" t="s">
        <v>10</v>
      </c>
      <c r="I5" s="10" t="s">
        <v>24</v>
      </c>
      <c r="J5" s="18" t="s">
        <v>12</v>
      </c>
      <c r="K5" s="18" t="s">
        <v>14</v>
      </c>
      <c r="L5" s="18" t="s">
        <v>11</v>
      </c>
      <c r="M5" s="29"/>
      <c r="N5" s="19" t="s">
        <v>8</v>
      </c>
      <c r="O5" s="20" t="s">
        <v>5</v>
      </c>
      <c r="P5" s="19" t="s">
        <v>15</v>
      </c>
      <c r="Q5" s="21"/>
    </row>
    <row r="6" spans="1:18" ht="9.75" customHeigh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R6" s="22"/>
    </row>
    <row r="7" spans="1:18" ht="15" x14ac:dyDescent="0.2">
      <c r="A7" s="20" t="s">
        <v>16</v>
      </c>
      <c r="B7" s="23">
        <f>ROUND(N7/12*$L$2,2)</f>
        <v>1004.05</v>
      </c>
      <c r="C7" s="23">
        <f>ROUND((O7*7.7)/12*$L$2,2)</f>
        <v>38.65</v>
      </c>
      <c r="D7" s="23">
        <f>ROUND((B7+C7)/12,2)</f>
        <v>86.89</v>
      </c>
      <c r="E7" s="23">
        <f>ROUND(P7/12*$L$2,2)</f>
        <v>85.89</v>
      </c>
      <c r="F7" s="23">
        <f>SUM(B7:E7)</f>
        <v>1215.4800000000002</v>
      </c>
      <c r="G7" s="23"/>
      <c r="H7" s="8">
        <f>ROUND(140*$L$2,2)</f>
        <v>93.32</v>
      </c>
      <c r="I7" s="8">
        <f>ROUND(600/12,2)</f>
        <v>50</v>
      </c>
      <c r="J7" s="7">
        <f>ROUND(F7+G7+H7+I7-(F7)*2%,2)</f>
        <v>1334.49</v>
      </c>
      <c r="K7" s="7">
        <f>ROUND((F7)*40.38%+(+H7+I7)*32.7%+(F7+G7+H7+I7)*1.61%,2)</f>
        <v>559.54999999999995</v>
      </c>
      <c r="L7" s="25">
        <f>J7+K7</f>
        <v>1894.04</v>
      </c>
      <c r="M7" s="26"/>
      <c r="N7" s="24">
        <v>18074.78</v>
      </c>
      <c r="O7" s="24">
        <v>90.36</v>
      </c>
      <c r="P7" s="38">
        <v>1546.16</v>
      </c>
      <c r="Q7" s="27"/>
      <c r="R7" s="28"/>
    </row>
    <row r="8" spans="1:18" ht="15" x14ac:dyDescent="0.2">
      <c r="A8" s="20" t="s">
        <v>17</v>
      </c>
      <c r="B8" s="23">
        <f>ROUND(N8/12*$L$2,2)</f>
        <v>1109.19</v>
      </c>
      <c r="C8" s="23">
        <f t="shared" ref="C8:C11" si="0">ROUND((O8*7.7)/12*$L$2,2)</f>
        <v>42.71</v>
      </c>
      <c r="D8" s="23">
        <f t="shared" ref="D8:D11" si="1">ROUND((B8+C8)/12,2)</f>
        <v>95.99</v>
      </c>
      <c r="E8" s="23">
        <f t="shared" ref="E8:E11" si="2">ROUND(P8/12*$L$2,2)</f>
        <v>85.89</v>
      </c>
      <c r="F8" s="23">
        <f>SUM(B8:E8)</f>
        <v>1333.7800000000002</v>
      </c>
      <c r="G8" s="23"/>
      <c r="H8" s="8">
        <f t="shared" ref="H8:H10" si="3">ROUND(140*$L$2,2)</f>
        <v>93.32</v>
      </c>
      <c r="I8" s="8">
        <f t="shared" ref="I8:I10" si="4">ROUND(600/12,2)</f>
        <v>50</v>
      </c>
      <c r="J8" s="7">
        <f t="shared" ref="J8:J11" si="5">ROUND(F8+G8+H8+I8-(F8)*2%,2)</f>
        <v>1450.42</v>
      </c>
      <c r="K8" s="7">
        <f t="shared" ref="K8:K10" si="6">ROUND((F8)*40.38%+(+H8+I8)*32.7%+(F8+G8+H8+I8)*1.61%,2)</f>
        <v>609.23</v>
      </c>
      <c r="L8" s="25">
        <f t="shared" ref="L8" si="7">J8+K8</f>
        <v>2059.65</v>
      </c>
      <c r="M8" s="26"/>
      <c r="N8" s="24">
        <v>19967.47</v>
      </c>
      <c r="O8" s="24">
        <v>99.84</v>
      </c>
      <c r="P8" s="38">
        <v>1546.16</v>
      </c>
      <c r="Q8" s="27"/>
      <c r="R8" s="28"/>
    </row>
    <row r="9" spans="1:18" ht="15" x14ac:dyDescent="0.2">
      <c r="A9" s="20" t="s">
        <v>1</v>
      </c>
      <c r="B9" s="23">
        <f>ROUND(N9/12*$L$2,2)</f>
        <v>1142.47</v>
      </c>
      <c r="C9" s="23">
        <f t="shared" si="0"/>
        <v>43.99</v>
      </c>
      <c r="D9" s="23">
        <f t="shared" si="1"/>
        <v>98.87</v>
      </c>
      <c r="E9" s="23">
        <f t="shared" si="2"/>
        <v>114.1</v>
      </c>
      <c r="F9" s="23">
        <f>SUM(B9:E9)</f>
        <v>1399.4299999999998</v>
      </c>
      <c r="G9" s="23"/>
      <c r="H9" s="8">
        <f t="shared" si="3"/>
        <v>93.32</v>
      </c>
      <c r="I9" s="8">
        <f t="shared" si="4"/>
        <v>50</v>
      </c>
      <c r="J9" s="7">
        <f t="shared" si="5"/>
        <v>1514.76</v>
      </c>
      <c r="K9" s="7">
        <f t="shared" si="6"/>
        <v>636.79</v>
      </c>
      <c r="L9" s="25">
        <f>J9+K9</f>
        <v>2151.5500000000002</v>
      </c>
      <c r="M9" s="26"/>
      <c r="N9" s="24">
        <v>20566.599999999999</v>
      </c>
      <c r="O9" s="24">
        <v>102.84</v>
      </c>
      <c r="P9" s="38">
        <v>2053.9700000000003</v>
      </c>
      <c r="Q9" s="27"/>
      <c r="R9" s="28"/>
    </row>
    <row r="10" spans="1:18" ht="15" x14ac:dyDescent="0.2">
      <c r="A10" s="20" t="s">
        <v>2</v>
      </c>
      <c r="B10" s="23">
        <f>ROUND(N10/12*$L$2,2)</f>
        <v>1327.78</v>
      </c>
      <c r="C10" s="23">
        <f t="shared" si="0"/>
        <v>51.12</v>
      </c>
      <c r="D10" s="23">
        <f t="shared" si="1"/>
        <v>114.91</v>
      </c>
      <c r="E10" s="23">
        <f t="shared" si="2"/>
        <v>157.88</v>
      </c>
      <c r="F10" s="23">
        <f>SUM(B10:E10)</f>
        <v>1651.69</v>
      </c>
      <c r="G10" s="23"/>
      <c r="H10" s="8">
        <f t="shared" si="3"/>
        <v>93.32</v>
      </c>
      <c r="I10" s="8">
        <f t="shared" si="4"/>
        <v>50</v>
      </c>
      <c r="J10" s="7">
        <f t="shared" si="5"/>
        <v>1761.98</v>
      </c>
      <c r="K10" s="7">
        <f t="shared" si="6"/>
        <v>742.72</v>
      </c>
      <c r="L10" s="25">
        <f>J10+K10</f>
        <v>2504.6999999999998</v>
      </c>
      <c r="M10" s="26"/>
      <c r="N10" s="24">
        <v>23902.47</v>
      </c>
      <c r="O10" s="24">
        <v>119.52</v>
      </c>
      <c r="P10" s="38">
        <v>2842.16</v>
      </c>
      <c r="Q10" s="27"/>
      <c r="R10" s="28"/>
    </row>
    <row r="11" spans="1:18" ht="15" x14ac:dyDescent="0.2">
      <c r="A11" s="20" t="s">
        <v>3</v>
      </c>
      <c r="B11" s="23">
        <f>ROUND(N11/12*$L$2,2)</f>
        <v>1493.74</v>
      </c>
      <c r="C11" s="23">
        <f t="shared" si="0"/>
        <v>57.49</v>
      </c>
      <c r="D11" s="23">
        <f t="shared" si="1"/>
        <v>129.27000000000001</v>
      </c>
      <c r="E11" s="23">
        <f t="shared" si="2"/>
        <v>186.61</v>
      </c>
      <c r="F11" s="23">
        <f>SUM(B11:E11)</f>
        <v>1867.1100000000001</v>
      </c>
      <c r="G11" s="8">
        <f>ROUND(((3099)*1.15)/12,2)</f>
        <v>296.99</v>
      </c>
      <c r="H11" s="23"/>
      <c r="I11" s="8"/>
      <c r="J11" s="7">
        <f t="shared" si="5"/>
        <v>2126.7600000000002</v>
      </c>
      <c r="K11" s="7">
        <f>ROUND((F11)*40.38%+(+G11+H11+I11)*32.7%+(F11+G11+H11+I11)*1.61%+((B11+C11)-556.86*$L$2)*4.36%,2)</f>
        <v>937.35</v>
      </c>
      <c r="L11" s="25">
        <f>J11+K11</f>
        <v>3064.11</v>
      </c>
      <c r="M11" s="26"/>
      <c r="N11" s="24">
        <v>26890.05</v>
      </c>
      <c r="O11" s="24">
        <v>134.4</v>
      </c>
      <c r="P11" s="38">
        <v>3359.4</v>
      </c>
      <c r="Q11" s="27"/>
      <c r="R11" s="28"/>
    </row>
    <row r="12" spans="1:18" ht="15" x14ac:dyDescent="0.2">
      <c r="B12" s="33"/>
      <c r="C12" s="33"/>
      <c r="D12" s="33"/>
      <c r="E12" s="33"/>
      <c r="F12" s="33"/>
      <c r="G12" s="34"/>
      <c r="H12" s="33"/>
      <c r="I12" s="34"/>
      <c r="J12" s="35"/>
      <c r="K12" s="35"/>
      <c r="L12" s="26"/>
      <c r="M12" s="26"/>
      <c r="N12" s="36"/>
      <c r="O12" s="36"/>
      <c r="P12" s="36"/>
      <c r="Q12" s="27"/>
      <c r="R12" s="28"/>
    </row>
    <row r="13" spans="1:18" ht="29.25" customHeight="1" x14ac:dyDescent="0.2">
      <c r="B13" s="14"/>
      <c r="C13" s="14"/>
      <c r="D13" s="14"/>
      <c r="F13" s="15"/>
      <c r="G13" s="15"/>
      <c r="H13" s="15"/>
      <c r="I13" s="15"/>
      <c r="J13" s="14"/>
      <c r="L13" s="39" t="s">
        <v>28</v>
      </c>
      <c r="M13" s="16"/>
      <c r="N13" s="13"/>
      <c r="O13" s="14"/>
      <c r="P13" s="14"/>
      <c r="Q13" s="14"/>
    </row>
    <row r="14" spans="1:18" ht="67.5" x14ac:dyDescent="0.2">
      <c r="A14" s="17" t="s">
        <v>13</v>
      </c>
      <c r="B14" s="18" t="s">
        <v>7</v>
      </c>
      <c r="C14" s="40" t="s">
        <v>27</v>
      </c>
      <c r="D14" s="17" t="s">
        <v>9</v>
      </c>
      <c r="E14" s="18" t="s">
        <v>6</v>
      </c>
      <c r="F14" s="17" t="s">
        <v>0</v>
      </c>
      <c r="G14" s="10" t="s">
        <v>18</v>
      </c>
      <c r="H14" s="10" t="s">
        <v>10</v>
      </c>
      <c r="I14" s="10" t="s">
        <v>24</v>
      </c>
      <c r="J14" s="18" t="s">
        <v>12</v>
      </c>
      <c r="K14" s="18" t="s">
        <v>14</v>
      </c>
      <c r="L14" s="18" t="s">
        <v>11</v>
      </c>
      <c r="M14" s="29"/>
      <c r="N14" s="19" t="s">
        <v>8</v>
      </c>
      <c r="O14" s="20" t="s">
        <v>5</v>
      </c>
      <c r="P14" s="19" t="s">
        <v>15</v>
      </c>
      <c r="Q14" s="21"/>
    </row>
    <row r="15" spans="1:18" ht="9.75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R15" s="22"/>
    </row>
    <row r="16" spans="1:18" ht="15" x14ac:dyDescent="0.2">
      <c r="A16" s="41" t="s">
        <v>29</v>
      </c>
      <c r="B16" s="23">
        <f>ROUND(N16/12*$L$2,2)</f>
        <v>1109.19</v>
      </c>
      <c r="C16" s="23">
        <f t="shared" ref="C16:C19" si="8">ROUND((O16*7.7)/12*$L$2,2)</f>
        <v>42.71</v>
      </c>
      <c r="D16" s="23">
        <f t="shared" ref="D16:D19" si="9">ROUND((B16+C16)/12,2)</f>
        <v>95.99</v>
      </c>
      <c r="E16" s="23">
        <f t="shared" ref="E16:E19" si="10">ROUND(P16/12*$L$2,2)</f>
        <v>85.89</v>
      </c>
      <c r="F16" s="23">
        <f>SUM(B16:E16)</f>
        <v>1333.7800000000002</v>
      </c>
      <c r="G16" s="23"/>
      <c r="H16" s="8">
        <f t="shared" ref="H16:H18" si="11">ROUND(140*$L$2,2)</f>
        <v>93.32</v>
      </c>
      <c r="I16" s="8">
        <f t="shared" ref="I16:I18" si="12">ROUND(600/12,2)</f>
        <v>50</v>
      </c>
      <c r="J16" s="7">
        <f t="shared" ref="J16:J19" si="13">ROUND(F16+G16+H16+I16-(F16)*2%,2)</f>
        <v>1450.42</v>
      </c>
      <c r="K16" s="7">
        <f t="shared" ref="K16:K18" si="14">ROUND((F16)*40.38%+(+H16+I16)*32.7%+(F16+G16+H16+I16)*1.61%,2)</f>
        <v>609.23</v>
      </c>
      <c r="L16" s="25">
        <f t="shared" ref="L16" si="15">J16+K16</f>
        <v>2059.65</v>
      </c>
      <c r="M16" s="26"/>
      <c r="N16" s="38">
        <v>19967.47</v>
      </c>
      <c r="O16" s="38">
        <v>99.84</v>
      </c>
      <c r="P16" s="38">
        <v>1546.16</v>
      </c>
      <c r="Q16" s="27"/>
      <c r="R16" s="28"/>
    </row>
    <row r="17" spans="1:18" ht="15" x14ac:dyDescent="0.2">
      <c r="A17" s="41" t="s">
        <v>30</v>
      </c>
      <c r="B17" s="23">
        <f>ROUND(N17/12*$L$2,2)</f>
        <v>1163.92</v>
      </c>
      <c r="C17" s="23">
        <f t="shared" si="8"/>
        <v>44.81</v>
      </c>
      <c r="D17" s="23">
        <f t="shared" si="9"/>
        <v>100.73</v>
      </c>
      <c r="E17" s="23">
        <f t="shared" si="10"/>
        <v>114.1</v>
      </c>
      <c r="F17" s="23">
        <f>SUM(B17:E17)</f>
        <v>1423.56</v>
      </c>
      <c r="G17" s="23"/>
      <c r="H17" s="8">
        <f t="shared" si="11"/>
        <v>93.32</v>
      </c>
      <c r="I17" s="8">
        <f t="shared" si="12"/>
        <v>50</v>
      </c>
      <c r="J17" s="7">
        <f t="shared" si="13"/>
        <v>1538.41</v>
      </c>
      <c r="K17" s="7">
        <f t="shared" si="14"/>
        <v>646.92999999999995</v>
      </c>
      <c r="L17" s="25">
        <f>J17+K17</f>
        <v>2185.34</v>
      </c>
      <c r="M17" s="26"/>
      <c r="N17" s="38">
        <v>20952.599999999999</v>
      </c>
      <c r="O17" s="38">
        <f>8.73*12</f>
        <v>104.76</v>
      </c>
      <c r="P17" s="38">
        <v>2053.9700000000003</v>
      </c>
      <c r="Q17" s="27"/>
      <c r="R17" s="28"/>
    </row>
    <row r="18" spans="1:18" ht="15" x14ac:dyDescent="0.2">
      <c r="A18" s="41" t="s">
        <v>31</v>
      </c>
      <c r="B18" s="23">
        <f>ROUND(N18/12*$L$2,2)</f>
        <v>1327.78</v>
      </c>
      <c r="C18" s="23">
        <f t="shared" si="8"/>
        <v>51.12</v>
      </c>
      <c r="D18" s="23">
        <f t="shared" si="9"/>
        <v>114.91</v>
      </c>
      <c r="E18" s="23">
        <f t="shared" si="10"/>
        <v>157.88</v>
      </c>
      <c r="F18" s="23">
        <f>SUM(B18:E18)</f>
        <v>1651.69</v>
      </c>
      <c r="G18" s="23"/>
      <c r="H18" s="8">
        <f t="shared" si="11"/>
        <v>93.32</v>
      </c>
      <c r="I18" s="8">
        <f t="shared" si="12"/>
        <v>50</v>
      </c>
      <c r="J18" s="7">
        <f t="shared" si="13"/>
        <v>1761.98</v>
      </c>
      <c r="K18" s="7">
        <f t="shared" si="14"/>
        <v>742.72</v>
      </c>
      <c r="L18" s="25">
        <f>J18+K18</f>
        <v>2504.6999999999998</v>
      </c>
      <c r="M18" s="26"/>
      <c r="N18" s="38">
        <v>23902.47</v>
      </c>
      <c r="O18" s="38">
        <v>119.52</v>
      </c>
      <c r="P18" s="38">
        <v>2842.16</v>
      </c>
      <c r="Q18" s="27"/>
      <c r="R18" s="28"/>
    </row>
    <row r="19" spans="1:18" ht="15" x14ac:dyDescent="0.2">
      <c r="A19" s="41" t="s">
        <v>32</v>
      </c>
      <c r="B19" s="23">
        <f>ROUND(N19/12*$L$2,2)</f>
        <v>1493.74</v>
      </c>
      <c r="C19" s="23">
        <f t="shared" si="8"/>
        <v>57.49</v>
      </c>
      <c r="D19" s="23">
        <f t="shared" si="9"/>
        <v>129.27000000000001</v>
      </c>
      <c r="E19" s="23">
        <f t="shared" si="10"/>
        <v>186.61</v>
      </c>
      <c r="F19" s="23">
        <f>SUM(B19:E19)</f>
        <v>1867.1100000000001</v>
      </c>
      <c r="G19" s="8">
        <f>ROUND(((3099)*1.15)/12,2)</f>
        <v>296.99</v>
      </c>
      <c r="H19" s="23"/>
      <c r="I19" s="8"/>
      <c r="J19" s="7">
        <f t="shared" si="13"/>
        <v>2126.7600000000002</v>
      </c>
      <c r="K19" s="7">
        <f>ROUND((F19)*40.38%+(+G19+H19+I19)*32.7%+(F19+G19+H19+I19)*1.61%+((B19+C19)-556.86*$L$2)*4.36%,2)</f>
        <v>937.35</v>
      </c>
      <c r="L19" s="25">
        <f>J19+K19</f>
        <v>3064.11</v>
      </c>
      <c r="M19" s="26"/>
      <c r="N19" s="38">
        <v>26890.05</v>
      </c>
      <c r="O19" s="38">
        <v>134.4</v>
      </c>
      <c r="P19" s="38">
        <v>3359.4</v>
      </c>
      <c r="Q19" s="27"/>
      <c r="R19" s="28"/>
    </row>
    <row r="20" spans="1:18" ht="15" x14ac:dyDescent="0.2">
      <c r="B20" s="33"/>
      <c r="C20" s="33"/>
      <c r="D20" s="33"/>
      <c r="E20" s="33"/>
      <c r="F20" s="33"/>
      <c r="G20" s="34"/>
      <c r="H20" s="33"/>
      <c r="I20" s="34"/>
      <c r="J20" s="35"/>
      <c r="K20" s="35"/>
      <c r="L20" s="26"/>
      <c r="M20" s="26"/>
      <c r="N20" s="36"/>
      <c r="O20" s="36"/>
      <c r="P20" s="36"/>
      <c r="Q20" s="27"/>
      <c r="R20" s="28"/>
    </row>
    <row r="22" spans="1:18" ht="15" x14ac:dyDescent="0.2">
      <c r="A22" s="42" t="s">
        <v>33</v>
      </c>
      <c r="B22" s="1" t="s">
        <v>39</v>
      </c>
      <c r="C22" s="1"/>
      <c r="D22" s="32"/>
      <c r="E22" s="1"/>
      <c r="F22" s="1"/>
      <c r="O22" s="30"/>
      <c r="P22" s="30"/>
      <c r="Q22" s="31"/>
      <c r="R22" s="28"/>
    </row>
    <row r="23" spans="1:18" x14ac:dyDescent="0.2">
      <c r="B23" s="1"/>
      <c r="C23" s="1"/>
      <c r="D23" s="42" t="s">
        <v>38</v>
      </c>
      <c r="E23" s="1" t="s">
        <v>19</v>
      </c>
      <c r="F23" s="1"/>
    </row>
    <row r="24" spans="1:18" x14ac:dyDescent="0.2">
      <c r="B24" s="1"/>
      <c r="C24" s="1"/>
      <c r="D24" s="42" t="s">
        <v>34</v>
      </c>
      <c r="E24" s="1" t="s">
        <v>20</v>
      </c>
      <c r="F24" s="1"/>
    </row>
    <row r="25" spans="1:18" x14ac:dyDescent="0.2">
      <c r="B25" s="1"/>
      <c r="C25" s="1"/>
      <c r="D25" s="42" t="s">
        <v>35</v>
      </c>
      <c r="E25" s="1" t="s">
        <v>21</v>
      </c>
      <c r="F25" s="1"/>
    </row>
    <row r="26" spans="1:18" x14ac:dyDescent="0.2">
      <c r="B26" s="1"/>
      <c r="C26" s="1"/>
      <c r="D26" s="42" t="s">
        <v>36</v>
      </c>
      <c r="E26" s="1" t="s">
        <v>22</v>
      </c>
      <c r="F26" s="1"/>
    </row>
    <row r="27" spans="1:18" x14ac:dyDescent="0.2">
      <c r="B27" s="1"/>
      <c r="C27" s="1"/>
      <c r="D27" s="42" t="s">
        <v>37</v>
      </c>
      <c r="E27" s="1" t="s">
        <v>23</v>
      </c>
      <c r="F27" s="1"/>
    </row>
  </sheetData>
  <printOptions horizontalCentered="1"/>
  <pageMargins left="0" right="0" top="0.98425196850393704" bottom="0.98425196850393704" header="0.51181102362204722" footer="0.51181102362204722"/>
  <pageSetup paperSize="9" scale="68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2375A-CC7E-42D7-B004-283EE45DA352}">
  <sheetPr>
    <pageSetUpPr fitToPage="1"/>
  </sheetPr>
  <dimension ref="A1:R27"/>
  <sheetViews>
    <sheetView view="pageBreakPreview" zoomScaleSheetLayoutView="100" workbookViewId="0">
      <selection activeCell="B22" sqref="B22"/>
    </sheetView>
  </sheetViews>
  <sheetFormatPr defaultColWidth="12.28515625" defaultRowHeight="12.75" x14ac:dyDescent="0.2"/>
  <cols>
    <col min="1" max="1" width="22.5703125" style="6" customWidth="1"/>
    <col min="2" max="2" width="13.7109375" style="6" customWidth="1"/>
    <col min="3" max="4" width="9.7109375" style="6" bestFit="1" customWidth="1"/>
    <col min="5" max="5" width="14.28515625" style="6" customWidth="1"/>
    <col min="6" max="8" width="14.85546875" style="6" customWidth="1"/>
    <col min="9" max="9" width="16" style="6" customWidth="1"/>
    <col min="10" max="10" width="11.28515625" style="6" bestFit="1" customWidth="1"/>
    <col min="11" max="11" width="12.28515625" style="6" customWidth="1"/>
    <col min="12" max="12" width="14.42578125" style="6" customWidth="1"/>
    <col min="13" max="13" width="13.28515625" style="6" customWidth="1"/>
    <col min="14" max="14" width="13.85546875" style="6" customWidth="1"/>
    <col min="15" max="15" width="9.42578125" style="6" bestFit="1" customWidth="1"/>
    <col min="16" max="16" width="11.28515625" style="6" bestFit="1" customWidth="1"/>
    <col min="17" max="17" width="16.42578125" style="6" bestFit="1" customWidth="1"/>
    <col min="18" max="16384" width="12.28515625" style="6"/>
  </cols>
  <sheetData>
    <row r="1" spans="1:18" s="1" customFormat="1" ht="14.25" x14ac:dyDescent="0.2">
      <c r="A1" s="11" t="s">
        <v>25</v>
      </c>
      <c r="B1" s="11"/>
      <c r="C1" s="11"/>
      <c r="D1" s="11"/>
      <c r="E1" s="11"/>
      <c r="F1" s="11"/>
      <c r="G1" s="11"/>
      <c r="J1" s="4"/>
      <c r="K1" s="2"/>
    </row>
    <row r="2" spans="1:18" s="1" customFormat="1" ht="14.25" x14ac:dyDescent="0.2">
      <c r="A2" s="5"/>
      <c r="B2" s="11" t="s">
        <v>4</v>
      </c>
      <c r="C2" s="11"/>
      <c r="D2" s="11"/>
      <c r="E2" s="11"/>
      <c r="F2" s="11"/>
      <c r="G2" s="11"/>
      <c r="H2" s="11"/>
      <c r="I2" s="11"/>
      <c r="J2" s="9"/>
      <c r="L2" s="37">
        <v>0.5</v>
      </c>
      <c r="M2" s="2"/>
      <c r="N2" s="2"/>
      <c r="O2" s="3"/>
    </row>
    <row r="4" spans="1:18" ht="29.25" customHeight="1" x14ac:dyDescent="0.2">
      <c r="B4" s="14"/>
      <c r="C4" s="14"/>
      <c r="D4" s="14"/>
      <c r="F4" s="15"/>
      <c r="G4" s="15"/>
      <c r="H4" s="15"/>
      <c r="I4" s="15"/>
      <c r="J4" s="14"/>
      <c r="L4" s="39" t="s">
        <v>26</v>
      </c>
      <c r="M4" s="16"/>
      <c r="N4" s="13"/>
      <c r="O4" s="14"/>
      <c r="P4" s="14"/>
      <c r="Q4" s="14"/>
    </row>
    <row r="5" spans="1:18" ht="67.5" x14ac:dyDescent="0.2">
      <c r="A5" s="17" t="s">
        <v>13</v>
      </c>
      <c r="B5" s="18" t="s">
        <v>7</v>
      </c>
      <c r="C5" s="40" t="s">
        <v>27</v>
      </c>
      <c r="D5" s="17" t="s">
        <v>9</v>
      </c>
      <c r="E5" s="18" t="s">
        <v>6</v>
      </c>
      <c r="F5" s="17" t="s">
        <v>0</v>
      </c>
      <c r="G5" s="10" t="s">
        <v>18</v>
      </c>
      <c r="H5" s="10" t="s">
        <v>10</v>
      </c>
      <c r="I5" s="10" t="s">
        <v>24</v>
      </c>
      <c r="J5" s="18" t="s">
        <v>12</v>
      </c>
      <c r="K5" s="18" t="s">
        <v>14</v>
      </c>
      <c r="L5" s="18" t="s">
        <v>11</v>
      </c>
      <c r="M5" s="29"/>
      <c r="N5" s="19" t="s">
        <v>8</v>
      </c>
      <c r="O5" s="20" t="s">
        <v>5</v>
      </c>
      <c r="P5" s="19" t="s">
        <v>15</v>
      </c>
      <c r="Q5" s="21"/>
    </row>
    <row r="6" spans="1:18" ht="9.75" customHeigh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R6" s="22"/>
    </row>
    <row r="7" spans="1:18" ht="15" x14ac:dyDescent="0.2">
      <c r="A7" s="20" t="s">
        <v>16</v>
      </c>
      <c r="B7" s="23">
        <f>ROUND(N7/12*$L$2,2)</f>
        <v>753.12</v>
      </c>
      <c r="C7" s="23">
        <f>ROUND((O7*7.7)/12*$L$2,2)</f>
        <v>28.99</v>
      </c>
      <c r="D7" s="23">
        <f>ROUND((B7+C7)/12,2)</f>
        <v>65.180000000000007</v>
      </c>
      <c r="E7" s="23">
        <f>ROUND(P7/12*$L$2,2)</f>
        <v>64.42</v>
      </c>
      <c r="F7" s="23">
        <f>SUM(B7:E7)</f>
        <v>911.70999999999992</v>
      </c>
      <c r="G7" s="23"/>
      <c r="H7" s="8">
        <f>ROUND(140*$L$2,2)</f>
        <v>70</v>
      </c>
      <c r="I7" s="8">
        <f>ROUND(600/12,2)</f>
        <v>50</v>
      </c>
      <c r="J7" s="7">
        <f>ROUND(F7+G7+H7+I7-(F7)*2%,2)</f>
        <v>1013.48</v>
      </c>
      <c r="K7" s="7">
        <f>ROUND((F7)*40.38%+(+H7+I7)*32.7%+(F7+G7+H7+I7)*1.61%,2)</f>
        <v>424</v>
      </c>
      <c r="L7" s="25">
        <f>J7+K7</f>
        <v>1437.48</v>
      </c>
      <c r="M7" s="26"/>
      <c r="N7" s="24">
        <v>18074.78</v>
      </c>
      <c r="O7" s="24">
        <v>90.36</v>
      </c>
      <c r="P7" s="38">
        <v>1546.16</v>
      </c>
      <c r="Q7" s="27"/>
      <c r="R7" s="28"/>
    </row>
    <row r="8" spans="1:18" ht="15" x14ac:dyDescent="0.2">
      <c r="A8" s="20" t="s">
        <v>17</v>
      </c>
      <c r="B8" s="23">
        <f>ROUND(N8/12*$L$2,2)</f>
        <v>831.98</v>
      </c>
      <c r="C8" s="23">
        <f t="shared" ref="C8:C11" si="0">ROUND((O8*7.7)/12*$L$2,2)</f>
        <v>32.03</v>
      </c>
      <c r="D8" s="23">
        <f t="shared" ref="D8:D11" si="1">ROUND((B8+C8)/12,2)</f>
        <v>72</v>
      </c>
      <c r="E8" s="23">
        <f t="shared" ref="E8:E11" si="2">ROUND(P8/12*$L$2,2)</f>
        <v>64.42</v>
      </c>
      <c r="F8" s="23">
        <f>SUM(B8:E8)</f>
        <v>1000.43</v>
      </c>
      <c r="G8" s="23"/>
      <c r="H8" s="8">
        <f t="shared" ref="H8:H10" si="3">ROUND(140*$L$2,2)</f>
        <v>70</v>
      </c>
      <c r="I8" s="8">
        <f t="shared" ref="I8:I10" si="4">ROUND(600/12,2)</f>
        <v>50</v>
      </c>
      <c r="J8" s="7">
        <f t="shared" ref="J8:J11" si="5">ROUND(F8+G8+H8+I8-(F8)*2%,2)</f>
        <v>1100.42</v>
      </c>
      <c r="K8" s="7">
        <f t="shared" ref="K8:K10" si="6">ROUND((F8)*40.38%+(+H8+I8)*32.7%+(F8+G8+H8+I8)*1.61%,2)</f>
        <v>461.25</v>
      </c>
      <c r="L8" s="25">
        <f t="shared" ref="L8" si="7">J8+K8</f>
        <v>1561.67</v>
      </c>
      <c r="M8" s="26"/>
      <c r="N8" s="24">
        <v>19967.47</v>
      </c>
      <c r="O8" s="24">
        <v>99.84</v>
      </c>
      <c r="P8" s="38">
        <v>1546.16</v>
      </c>
      <c r="Q8" s="27"/>
      <c r="R8" s="28"/>
    </row>
    <row r="9" spans="1:18" ht="15" x14ac:dyDescent="0.2">
      <c r="A9" s="20" t="s">
        <v>1</v>
      </c>
      <c r="B9" s="23">
        <f>ROUND(N9/12*$L$2,2)</f>
        <v>856.94</v>
      </c>
      <c r="C9" s="23">
        <f t="shared" si="0"/>
        <v>32.99</v>
      </c>
      <c r="D9" s="23">
        <f t="shared" si="1"/>
        <v>74.16</v>
      </c>
      <c r="E9" s="23">
        <f t="shared" si="2"/>
        <v>85.58</v>
      </c>
      <c r="F9" s="23">
        <f>SUM(B9:E9)</f>
        <v>1049.67</v>
      </c>
      <c r="G9" s="23"/>
      <c r="H9" s="8">
        <f t="shared" si="3"/>
        <v>70</v>
      </c>
      <c r="I9" s="8">
        <f t="shared" si="4"/>
        <v>50</v>
      </c>
      <c r="J9" s="7">
        <f t="shared" si="5"/>
        <v>1148.68</v>
      </c>
      <c r="K9" s="7">
        <f t="shared" si="6"/>
        <v>481.93</v>
      </c>
      <c r="L9" s="25">
        <f>J9+K9</f>
        <v>1630.6100000000001</v>
      </c>
      <c r="M9" s="26"/>
      <c r="N9" s="24">
        <v>20566.599999999999</v>
      </c>
      <c r="O9" s="24">
        <v>102.84</v>
      </c>
      <c r="P9" s="38">
        <v>2053.9700000000003</v>
      </c>
      <c r="Q9" s="27"/>
      <c r="R9" s="28"/>
    </row>
    <row r="10" spans="1:18" ht="15" x14ac:dyDescent="0.2">
      <c r="A10" s="20" t="s">
        <v>2</v>
      </c>
      <c r="B10" s="23">
        <f>ROUND(N10/12*$L$2,2)</f>
        <v>995.94</v>
      </c>
      <c r="C10" s="23">
        <f t="shared" si="0"/>
        <v>38.35</v>
      </c>
      <c r="D10" s="23">
        <f t="shared" si="1"/>
        <v>86.19</v>
      </c>
      <c r="E10" s="23">
        <f t="shared" si="2"/>
        <v>118.42</v>
      </c>
      <c r="F10" s="23">
        <f>SUM(B10:E10)</f>
        <v>1238.9000000000001</v>
      </c>
      <c r="G10" s="23"/>
      <c r="H10" s="8">
        <f t="shared" si="3"/>
        <v>70</v>
      </c>
      <c r="I10" s="8">
        <f t="shared" si="4"/>
        <v>50</v>
      </c>
      <c r="J10" s="7">
        <f t="shared" si="5"/>
        <v>1334.12</v>
      </c>
      <c r="K10" s="7">
        <f t="shared" si="6"/>
        <v>561.39</v>
      </c>
      <c r="L10" s="25">
        <f>J10+K10</f>
        <v>1895.5099999999998</v>
      </c>
      <c r="M10" s="26"/>
      <c r="N10" s="24">
        <v>23902.47</v>
      </c>
      <c r="O10" s="24">
        <v>119.52</v>
      </c>
      <c r="P10" s="38">
        <v>2842.16</v>
      </c>
      <c r="Q10" s="27"/>
      <c r="R10" s="28"/>
    </row>
    <row r="11" spans="1:18" ht="15" x14ac:dyDescent="0.2">
      <c r="A11" s="20" t="s">
        <v>3</v>
      </c>
      <c r="B11" s="23">
        <f>ROUND(N11/12*$L$2,2)</f>
        <v>1120.42</v>
      </c>
      <c r="C11" s="23">
        <f t="shared" si="0"/>
        <v>43.12</v>
      </c>
      <c r="D11" s="23">
        <f t="shared" si="1"/>
        <v>96.96</v>
      </c>
      <c r="E11" s="23">
        <f t="shared" si="2"/>
        <v>139.97999999999999</v>
      </c>
      <c r="F11" s="23">
        <f>SUM(B11:E11)</f>
        <v>1400.48</v>
      </c>
      <c r="G11" s="8">
        <f>ROUND(((3099)*1.15)/12,2)</f>
        <v>296.99</v>
      </c>
      <c r="H11" s="23"/>
      <c r="I11" s="8"/>
      <c r="J11" s="7">
        <f t="shared" si="5"/>
        <v>1669.46</v>
      </c>
      <c r="K11" s="7">
        <f>ROUND((F11)*40.38%+(+G11+H11+I11)*32.7%+(F11+G11+H11+I11)*1.61%+((B11+C11)-556.86*$L$2)*4.36%,2)</f>
        <v>728.55</v>
      </c>
      <c r="L11" s="25">
        <f>J11+K11</f>
        <v>2398.0100000000002</v>
      </c>
      <c r="M11" s="26"/>
      <c r="N11" s="24">
        <v>26890.05</v>
      </c>
      <c r="O11" s="24">
        <v>134.4</v>
      </c>
      <c r="P11" s="38">
        <v>3359.4</v>
      </c>
      <c r="Q11" s="27"/>
      <c r="R11" s="28"/>
    </row>
    <row r="12" spans="1:18" ht="15" x14ac:dyDescent="0.2">
      <c r="B12" s="33"/>
      <c r="C12" s="33"/>
      <c r="D12" s="33"/>
      <c r="E12" s="33"/>
      <c r="F12" s="33"/>
      <c r="G12" s="34"/>
      <c r="H12" s="33"/>
      <c r="I12" s="34"/>
      <c r="J12" s="35"/>
      <c r="K12" s="35"/>
      <c r="L12" s="26"/>
      <c r="M12" s="26"/>
      <c r="N12" s="36"/>
      <c r="O12" s="36"/>
      <c r="P12" s="36"/>
      <c r="Q12" s="27"/>
      <c r="R12" s="28"/>
    </row>
    <row r="13" spans="1:18" ht="29.25" customHeight="1" x14ac:dyDescent="0.2">
      <c r="B13" s="14"/>
      <c r="C13" s="14"/>
      <c r="D13" s="14"/>
      <c r="F13" s="15"/>
      <c r="G13" s="15"/>
      <c r="H13" s="15"/>
      <c r="I13" s="15"/>
      <c r="J13" s="14"/>
      <c r="L13" s="39" t="s">
        <v>28</v>
      </c>
      <c r="M13" s="16"/>
      <c r="N13" s="13"/>
      <c r="O13" s="14"/>
      <c r="P13" s="14"/>
      <c r="Q13" s="14"/>
    </row>
    <row r="14" spans="1:18" ht="67.5" x14ac:dyDescent="0.2">
      <c r="A14" s="17" t="s">
        <v>13</v>
      </c>
      <c r="B14" s="18" t="s">
        <v>7</v>
      </c>
      <c r="C14" s="40" t="s">
        <v>27</v>
      </c>
      <c r="D14" s="17" t="s">
        <v>9</v>
      </c>
      <c r="E14" s="18" t="s">
        <v>6</v>
      </c>
      <c r="F14" s="17" t="s">
        <v>0</v>
      </c>
      <c r="G14" s="10" t="s">
        <v>18</v>
      </c>
      <c r="H14" s="10" t="s">
        <v>10</v>
      </c>
      <c r="I14" s="10" t="s">
        <v>24</v>
      </c>
      <c r="J14" s="18" t="s">
        <v>12</v>
      </c>
      <c r="K14" s="18" t="s">
        <v>14</v>
      </c>
      <c r="L14" s="18" t="s">
        <v>11</v>
      </c>
      <c r="M14" s="29"/>
      <c r="N14" s="19" t="s">
        <v>8</v>
      </c>
      <c r="O14" s="20" t="s">
        <v>5</v>
      </c>
      <c r="P14" s="19" t="s">
        <v>15</v>
      </c>
      <c r="Q14" s="21"/>
    </row>
    <row r="15" spans="1:18" ht="9.75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R15" s="22"/>
    </row>
    <row r="16" spans="1:18" ht="15" x14ac:dyDescent="0.2">
      <c r="A16" s="41" t="s">
        <v>29</v>
      </c>
      <c r="B16" s="23">
        <f>ROUND(N16/12*$L$2,2)</f>
        <v>831.98</v>
      </c>
      <c r="C16" s="23">
        <f t="shared" ref="C16:C19" si="8">ROUND((O16*7.7)/12*$L$2,2)</f>
        <v>32.03</v>
      </c>
      <c r="D16" s="23">
        <f t="shared" ref="D16:D19" si="9">ROUND((B16+C16)/12,2)</f>
        <v>72</v>
      </c>
      <c r="E16" s="23">
        <f t="shared" ref="E16:E19" si="10">ROUND(P16/12*$L$2,2)</f>
        <v>64.42</v>
      </c>
      <c r="F16" s="23">
        <f>SUM(B16:E16)</f>
        <v>1000.43</v>
      </c>
      <c r="G16" s="23"/>
      <c r="H16" s="8">
        <f t="shared" ref="H16:H18" si="11">ROUND(140*$L$2,2)</f>
        <v>70</v>
      </c>
      <c r="I16" s="8">
        <f t="shared" ref="I16:I18" si="12">ROUND(600/12,2)</f>
        <v>50</v>
      </c>
      <c r="J16" s="7">
        <f t="shared" ref="J16:J19" si="13">ROUND(F16+G16+H16+I16-(F16)*2%,2)</f>
        <v>1100.42</v>
      </c>
      <c r="K16" s="7">
        <f t="shared" ref="K16:K18" si="14">ROUND((F16)*40.38%+(+H16+I16)*32.7%+(F16+G16+H16+I16)*1.61%,2)</f>
        <v>461.25</v>
      </c>
      <c r="L16" s="25">
        <f t="shared" ref="L16" si="15">J16+K16</f>
        <v>1561.67</v>
      </c>
      <c r="M16" s="26"/>
      <c r="N16" s="38">
        <v>19967.47</v>
      </c>
      <c r="O16" s="38">
        <v>99.84</v>
      </c>
      <c r="P16" s="38">
        <v>1546.16</v>
      </c>
      <c r="Q16" s="27"/>
      <c r="R16" s="28"/>
    </row>
    <row r="17" spans="1:18" ht="15" x14ac:dyDescent="0.2">
      <c r="A17" s="41" t="s">
        <v>30</v>
      </c>
      <c r="B17" s="23">
        <f>ROUND(N17/12*$L$2,2)</f>
        <v>873.03</v>
      </c>
      <c r="C17" s="23">
        <f t="shared" si="8"/>
        <v>33.61</v>
      </c>
      <c r="D17" s="23">
        <f t="shared" si="9"/>
        <v>75.55</v>
      </c>
      <c r="E17" s="23">
        <f t="shared" si="10"/>
        <v>85.58</v>
      </c>
      <c r="F17" s="23">
        <f>SUM(B17:E17)</f>
        <v>1067.77</v>
      </c>
      <c r="G17" s="23"/>
      <c r="H17" s="8">
        <f t="shared" si="11"/>
        <v>70</v>
      </c>
      <c r="I17" s="8">
        <f t="shared" si="12"/>
        <v>50</v>
      </c>
      <c r="J17" s="7">
        <f t="shared" si="13"/>
        <v>1166.4100000000001</v>
      </c>
      <c r="K17" s="7">
        <f t="shared" si="14"/>
        <v>489.53</v>
      </c>
      <c r="L17" s="25">
        <f>J17+K17</f>
        <v>1655.94</v>
      </c>
      <c r="M17" s="26"/>
      <c r="N17" s="38">
        <v>20952.599999999999</v>
      </c>
      <c r="O17" s="38">
        <f>8.73*12</f>
        <v>104.76</v>
      </c>
      <c r="P17" s="38">
        <v>2053.9700000000003</v>
      </c>
      <c r="Q17" s="27"/>
      <c r="R17" s="28"/>
    </row>
    <row r="18" spans="1:18" ht="15" x14ac:dyDescent="0.2">
      <c r="A18" s="41" t="s">
        <v>31</v>
      </c>
      <c r="B18" s="23">
        <f>ROUND(N18/12*$L$2,2)</f>
        <v>995.94</v>
      </c>
      <c r="C18" s="23">
        <f t="shared" si="8"/>
        <v>38.35</v>
      </c>
      <c r="D18" s="23">
        <f t="shared" si="9"/>
        <v>86.19</v>
      </c>
      <c r="E18" s="23">
        <f t="shared" si="10"/>
        <v>118.42</v>
      </c>
      <c r="F18" s="23">
        <f>SUM(B18:E18)</f>
        <v>1238.9000000000001</v>
      </c>
      <c r="G18" s="23"/>
      <c r="H18" s="8">
        <f t="shared" si="11"/>
        <v>70</v>
      </c>
      <c r="I18" s="8">
        <f t="shared" si="12"/>
        <v>50</v>
      </c>
      <c r="J18" s="7">
        <f t="shared" si="13"/>
        <v>1334.12</v>
      </c>
      <c r="K18" s="7">
        <f t="shared" si="14"/>
        <v>561.39</v>
      </c>
      <c r="L18" s="25">
        <f>J18+K18</f>
        <v>1895.5099999999998</v>
      </c>
      <c r="M18" s="26"/>
      <c r="N18" s="38">
        <v>23902.47</v>
      </c>
      <c r="O18" s="38">
        <v>119.52</v>
      </c>
      <c r="P18" s="38">
        <v>2842.16</v>
      </c>
      <c r="Q18" s="27"/>
      <c r="R18" s="28"/>
    </row>
    <row r="19" spans="1:18" ht="15" x14ac:dyDescent="0.2">
      <c r="A19" s="41" t="s">
        <v>32</v>
      </c>
      <c r="B19" s="23">
        <f>ROUND(N19/12*$L$2,2)</f>
        <v>1120.42</v>
      </c>
      <c r="C19" s="23">
        <f t="shared" si="8"/>
        <v>43.12</v>
      </c>
      <c r="D19" s="23">
        <f t="shared" si="9"/>
        <v>96.96</v>
      </c>
      <c r="E19" s="23">
        <f t="shared" si="10"/>
        <v>139.97999999999999</v>
      </c>
      <c r="F19" s="23">
        <f>SUM(B19:E19)</f>
        <v>1400.48</v>
      </c>
      <c r="G19" s="8">
        <f>ROUND(((3099)*1.15)/12,2)</f>
        <v>296.99</v>
      </c>
      <c r="H19" s="23"/>
      <c r="I19" s="8"/>
      <c r="J19" s="7">
        <f t="shared" si="13"/>
        <v>1669.46</v>
      </c>
      <c r="K19" s="7">
        <f>ROUND((F19)*40.38%+(+G19+H19+I19)*32.7%+(F19+G19+H19+I19)*1.61%+((B19+C19)-556.86*$L$2)*4.36%,2)</f>
        <v>728.55</v>
      </c>
      <c r="L19" s="25">
        <f>J19+K19</f>
        <v>2398.0100000000002</v>
      </c>
      <c r="M19" s="26"/>
      <c r="N19" s="38">
        <v>26890.05</v>
      </c>
      <c r="O19" s="38">
        <v>134.4</v>
      </c>
      <c r="P19" s="38">
        <v>3359.4</v>
      </c>
      <c r="Q19" s="27"/>
      <c r="R19" s="28"/>
    </row>
    <row r="20" spans="1:18" ht="15" x14ac:dyDescent="0.2">
      <c r="B20" s="33"/>
      <c r="C20" s="33"/>
      <c r="D20" s="33"/>
      <c r="E20" s="33"/>
      <c r="F20" s="33"/>
      <c r="G20" s="34"/>
      <c r="H20" s="33"/>
      <c r="I20" s="34"/>
      <c r="J20" s="35"/>
      <c r="K20" s="35"/>
      <c r="L20" s="26"/>
      <c r="M20" s="26"/>
      <c r="N20" s="36"/>
      <c r="O20" s="36"/>
      <c r="P20" s="36"/>
      <c r="Q20" s="27"/>
      <c r="R20" s="28"/>
    </row>
    <row r="22" spans="1:18" ht="15" x14ac:dyDescent="0.2">
      <c r="A22" s="42" t="s">
        <v>33</v>
      </c>
      <c r="B22" s="1" t="s">
        <v>39</v>
      </c>
      <c r="C22" s="1"/>
      <c r="D22" s="32"/>
      <c r="E22" s="1"/>
      <c r="F22" s="1"/>
      <c r="O22" s="30"/>
      <c r="P22" s="30"/>
      <c r="Q22" s="31"/>
      <c r="R22" s="28"/>
    </row>
    <row r="23" spans="1:18" x14ac:dyDescent="0.2">
      <c r="B23" s="1"/>
      <c r="C23" s="1"/>
      <c r="D23" s="42" t="s">
        <v>38</v>
      </c>
      <c r="E23" s="1" t="s">
        <v>19</v>
      </c>
      <c r="F23" s="1"/>
    </row>
    <row r="24" spans="1:18" x14ac:dyDescent="0.2">
      <c r="B24" s="1"/>
      <c r="C24" s="1"/>
      <c r="D24" s="42" t="s">
        <v>34</v>
      </c>
      <c r="E24" s="1" t="s">
        <v>20</v>
      </c>
      <c r="F24" s="1"/>
    </row>
    <row r="25" spans="1:18" x14ac:dyDescent="0.2">
      <c r="B25" s="1"/>
      <c r="C25" s="1"/>
      <c r="D25" s="42" t="s">
        <v>35</v>
      </c>
      <c r="E25" s="1" t="s">
        <v>21</v>
      </c>
      <c r="F25" s="1"/>
    </row>
    <row r="26" spans="1:18" x14ac:dyDescent="0.2">
      <c r="B26" s="1"/>
      <c r="C26" s="1"/>
      <c r="D26" s="42" t="s">
        <v>36</v>
      </c>
      <c r="E26" s="1" t="s">
        <v>22</v>
      </c>
      <c r="F26" s="1"/>
    </row>
    <row r="27" spans="1:18" x14ac:dyDescent="0.2">
      <c r="B27" s="1"/>
      <c r="C27" s="1"/>
      <c r="D27" s="42" t="s">
        <v>37</v>
      </c>
      <c r="E27" s="1" t="s">
        <v>23</v>
      </c>
      <c r="F27" s="1"/>
    </row>
  </sheetData>
  <printOptions horizontalCentered="1"/>
  <pageMargins left="0" right="0" top="0.98425196850393704" bottom="0.98425196850393704" header="0.51181102362204722" footer="0.51181102362204722"/>
  <pageSetup paperSize="9" scale="68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NM FinDiv 100%</vt:lpstr>
      <vt:lpstr>NM FinDiv 83,33%</vt:lpstr>
      <vt:lpstr>NM FinDiv 66,66%</vt:lpstr>
      <vt:lpstr>NM FinDiv 50%</vt:lpstr>
    </vt:vector>
  </TitlesOfParts>
  <Company>UNIV. DEGLI  DI  FIRENZE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UNIV. DEGLI  DI  FIRENZE</dc:creator>
  <cp:lastModifiedBy>Claudia Caponi</cp:lastModifiedBy>
  <cp:lastPrinted>2018-04-20T10:50:32Z</cp:lastPrinted>
  <dcterms:created xsi:type="dcterms:W3CDTF">2003-05-21T09:14:45Z</dcterms:created>
  <dcterms:modified xsi:type="dcterms:W3CDTF">2024-05-08T13:03:29Z</dcterms:modified>
</cp:coreProperties>
</file>