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olmo.unifi.it\ASEF_DOCUMENTI_STIPENDI\DOCUMENTI STANZA 82_219\CCNL 2019_2021 giuridico_economico\paginaweb CCNL2019_2021\aggiornamento aprile 25\"/>
    </mc:Choice>
  </mc:AlternateContent>
  <xr:revisionPtr revIDLastSave="0" documentId="13_ncr:1_{DA82BDA9-7DF3-4333-817E-CAAADB728C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T FinDiv 100%" sheetId="12" r:id="rId1"/>
    <sheet name="NT FinDiv 83,33%" sheetId="27" r:id="rId2"/>
    <sheet name="NT FinDiv 66,66%" sheetId="28" r:id="rId3"/>
    <sheet name="NT FinDiv 50%" sheetId="2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29" l="1"/>
  <c r="E26" i="29"/>
  <c r="C26" i="29"/>
  <c r="B26" i="29"/>
  <c r="I25" i="29"/>
  <c r="H25" i="29"/>
  <c r="E25" i="29"/>
  <c r="C25" i="29"/>
  <c r="B25" i="29"/>
  <c r="D25" i="29" s="1"/>
  <c r="F25" i="29" s="1"/>
  <c r="I24" i="29"/>
  <c r="H24" i="29"/>
  <c r="E24" i="29"/>
  <c r="C24" i="29"/>
  <c r="B24" i="29"/>
  <c r="I23" i="29"/>
  <c r="H23" i="29"/>
  <c r="E23" i="29"/>
  <c r="C23" i="29"/>
  <c r="B23" i="29"/>
  <c r="D23" i="29" s="1"/>
  <c r="F23" i="29" s="1"/>
  <c r="G18" i="29"/>
  <c r="E18" i="29"/>
  <c r="C18" i="29"/>
  <c r="B18" i="29"/>
  <c r="D18" i="29" s="1"/>
  <c r="I17" i="29"/>
  <c r="H17" i="29"/>
  <c r="E17" i="29"/>
  <c r="C17" i="29"/>
  <c r="B17" i="29"/>
  <c r="D17" i="29" s="1"/>
  <c r="F17" i="29" s="1"/>
  <c r="I16" i="29"/>
  <c r="H16" i="29"/>
  <c r="E16" i="29"/>
  <c r="C16" i="29"/>
  <c r="B16" i="29"/>
  <c r="D16" i="29" s="1"/>
  <c r="F16" i="29" s="1"/>
  <c r="I15" i="29"/>
  <c r="H15" i="29"/>
  <c r="E15" i="29"/>
  <c r="C15" i="29"/>
  <c r="B15" i="29"/>
  <c r="G10" i="29"/>
  <c r="E10" i="29"/>
  <c r="C10" i="29"/>
  <c r="B10" i="29"/>
  <c r="D10" i="29" s="1"/>
  <c r="I9" i="29"/>
  <c r="H9" i="29"/>
  <c r="E9" i="29"/>
  <c r="C9" i="29"/>
  <c r="B9" i="29"/>
  <c r="P8" i="29"/>
  <c r="C8" i="29" s="1"/>
  <c r="I8" i="29"/>
  <c r="H8" i="29"/>
  <c r="E8" i="29"/>
  <c r="B8" i="29"/>
  <c r="I7" i="29"/>
  <c r="H7" i="29"/>
  <c r="E7" i="29"/>
  <c r="C7" i="29"/>
  <c r="B7" i="29"/>
  <c r="G26" i="28"/>
  <c r="E26" i="28"/>
  <c r="C26" i="28"/>
  <c r="B26" i="28"/>
  <c r="D26" i="28" s="1"/>
  <c r="F26" i="28" s="1"/>
  <c r="I25" i="28"/>
  <c r="H25" i="28"/>
  <c r="E25" i="28"/>
  <c r="C25" i="28"/>
  <c r="B25" i="28"/>
  <c r="D25" i="28" s="1"/>
  <c r="F25" i="28" s="1"/>
  <c r="I24" i="28"/>
  <c r="H24" i="28"/>
  <c r="E24" i="28"/>
  <c r="C24" i="28"/>
  <c r="B24" i="28"/>
  <c r="I23" i="28"/>
  <c r="H23" i="28"/>
  <c r="E23" i="28"/>
  <c r="C23" i="28"/>
  <c r="B23" i="28"/>
  <c r="G18" i="28"/>
  <c r="E18" i="28"/>
  <c r="C18" i="28"/>
  <c r="B18" i="28"/>
  <c r="I17" i="28"/>
  <c r="H17" i="28"/>
  <c r="E17" i="28"/>
  <c r="C17" i="28"/>
  <c r="B17" i="28"/>
  <c r="D17" i="28" s="1"/>
  <c r="I16" i="28"/>
  <c r="H16" i="28"/>
  <c r="E16" i="28"/>
  <c r="C16" i="28"/>
  <c r="B16" i="28"/>
  <c r="D16" i="28" s="1"/>
  <c r="I15" i="28"/>
  <c r="H15" i="28"/>
  <c r="E15" i="28"/>
  <c r="C15" i="28"/>
  <c r="B15" i="28"/>
  <c r="D15" i="28" s="1"/>
  <c r="F15" i="28" s="1"/>
  <c r="G10" i="28"/>
  <c r="E10" i="28"/>
  <c r="C10" i="28"/>
  <c r="B10" i="28"/>
  <c r="I9" i="28"/>
  <c r="H9" i="28"/>
  <c r="E9" i="28"/>
  <c r="C9" i="28"/>
  <c r="B9" i="28"/>
  <c r="P8" i="28"/>
  <c r="C8" i="28" s="1"/>
  <c r="I8" i="28"/>
  <c r="H8" i="28"/>
  <c r="E8" i="28"/>
  <c r="B8" i="28"/>
  <c r="I7" i="28"/>
  <c r="H7" i="28"/>
  <c r="E7" i="28"/>
  <c r="C7" i="28"/>
  <c r="B7" i="28"/>
  <c r="D7" i="28" s="1"/>
  <c r="F7" i="28" s="1"/>
  <c r="G26" i="27"/>
  <c r="E26" i="27"/>
  <c r="C26" i="27"/>
  <c r="B26" i="27"/>
  <c r="D26" i="27" s="1"/>
  <c r="F26" i="27" s="1"/>
  <c r="I25" i="27"/>
  <c r="H25" i="27"/>
  <c r="E25" i="27"/>
  <c r="C25" i="27"/>
  <c r="B25" i="27"/>
  <c r="D25" i="27" s="1"/>
  <c r="F25" i="27" s="1"/>
  <c r="I24" i="27"/>
  <c r="H24" i="27"/>
  <c r="E24" i="27"/>
  <c r="C24" i="27"/>
  <c r="B24" i="27"/>
  <c r="I23" i="27"/>
  <c r="H23" i="27"/>
  <c r="E23" i="27"/>
  <c r="C23" i="27"/>
  <c r="B23" i="27"/>
  <c r="D23" i="27" s="1"/>
  <c r="G18" i="27"/>
  <c r="E18" i="27"/>
  <c r="C18" i="27"/>
  <c r="B18" i="27"/>
  <c r="D18" i="27" s="1"/>
  <c r="I17" i="27"/>
  <c r="H17" i="27"/>
  <c r="E17" i="27"/>
  <c r="C17" i="27"/>
  <c r="B17" i="27"/>
  <c r="D17" i="27" s="1"/>
  <c r="F17" i="27" s="1"/>
  <c r="I16" i="27"/>
  <c r="H16" i="27"/>
  <c r="E16" i="27"/>
  <c r="C16" i="27"/>
  <c r="B16" i="27"/>
  <c r="D16" i="27" s="1"/>
  <c r="F16" i="27" s="1"/>
  <c r="I15" i="27"/>
  <c r="H15" i="27"/>
  <c r="E15" i="27"/>
  <c r="C15" i="27"/>
  <c r="B15" i="27"/>
  <c r="G10" i="27"/>
  <c r="E10" i="27"/>
  <c r="C10" i="27"/>
  <c r="B10" i="27"/>
  <c r="I9" i="27"/>
  <c r="H9" i="27"/>
  <c r="E9" i="27"/>
  <c r="C9" i="27"/>
  <c r="B9" i="27"/>
  <c r="P8" i="27"/>
  <c r="C8" i="27" s="1"/>
  <c r="I8" i="27"/>
  <c r="H8" i="27"/>
  <c r="E8" i="27"/>
  <c r="B8" i="27"/>
  <c r="D8" i="27" s="1"/>
  <c r="I7" i="27"/>
  <c r="H7" i="27"/>
  <c r="E7" i="27"/>
  <c r="C7" i="27"/>
  <c r="B7" i="27"/>
  <c r="D7" i="27" s="1"/>
  <c r="F7" i="27" s="1"/>
  <c r="G26" i="12"/>
  <c r="E26" i="12"/>
  <c r="C26" i="12"/>
  <c r="B26" i="12"/>
  <c r="D26" i="12" s="1"/>
  <c r="I25" i="12"/>
  <c r="H25" i="12"/>
  <c r="E25" i="12"/>
  <c r="C25" i="12"/>
  <c r="B25" i="12"/>
  <c r="I24" i="12"/>
  <c r="H24" i="12"/>
  <c r="E24" i="12"/>
  <c r="C24" i="12"/>
  <c r="B24" i="12"/>
  <c r="I23" i="12"/>
  <c r="H23" i="12"/>
  <c r="E23" i="12"/>
  <c r="C23" i="12"/>
  <c r="B23" i="12"/>
  <c r="C16" i="12"/>
  <c r="C17" i="12"/>
  <c r="C18" i="12"/>
  <c r="C15" i="12"/>
  <c r="G18" i="12"/>
  <c r="E18" i="12"/>
  <c r="B18" i="12"/>
  <c r="I17" i="12"/>
  <c r="H17" i="12"/>
  <c r="E17" i="12"/>
  <c r="B17" i="12"/>
  <c r="I16" i="12"/>
  <c r="H16" i="12"/>
  <c r="E16" i="12"/>
  <c r="B16" i="12"/>
  <c r="I15" i="12"/>
  <c r="H15" i="12"/>
  <c r="E15" i="12"/>
  <c r="B15" i="12"/>
  <c r="G10" i="12"/>
  <c r="E10" i="12"/>
  <c r="C10" i="12"/>
  <c r="B10" i="12"/>
  <c r="D10" i="12" s="1"/>
  <c r="F10" i="12" s="1"/>
  <c r="I9" i="12"/>
  <c r="H9" i="12"/>
  <c r="E9" i="12"/>
  <c r="C9" i="12"/>
  <c r="B9" i="12"/>
  <c r="D9" i="12" s="1"/>
  <c r="P8" i="12"/>
  <c r="C8" i="12" s="1"/>
  <c r="I8" i="12"/>
  <c r="H8" i="12"/>
  <c r="E8" i="12"/>
  <c r="B8" i="12"/>
  <c r="I7" i="12"/>
  <c r="H7" i="12"/>
  <c r="E7" i="12"/>
  <c r="C7" i="12"/>
  <c r="B7" i="12"/>
  <c r="D7" i="12" s="1"/>
  <c r="F7" i="12" s="1"/>
  <c r="D15" i="29" l="1"/>
  <c r="D24" i="29"/>
  <c r="F24" i="29" s="1"/>
  <c r="L24" i="29" s="1"/>
  <c r="L17" i="29"/>
  <c r="J17" i="29"/>
  <c r="K17" i="29" s="1"/>
  <c r="M17" i="29" s="1"/>
  <c r="L16" i="29"/>
  <c r="J16" i="29"/>
  <c r="K16" i="29" s="1"/>
  <c r="J25" i="29"/>
  <c r="L25" i="29"/>
  <c r="K25" i="29"/>
  <c r="M25" i="29" s="1"/>
  <c r="L23" i="29"/>
  <c r="J23" i="29"/>
  <c r="K23" i="29" s="1"/>
  <c r="M23" i="29" s="1"/>
  <c r="J24" i="29"/>
  <c r="K24" i="29" s="1"/>
  <c r="F18" i="29"/>
  <c r="F15" i="29"/>
  <c r="D8" i="29"/>
  <c r="F8" i="29" s="1"/>
  <c r="D9" i="29"/>
  <c r="F9" i="29" s="1"/>
  <c r="D7" i="29"/>
  <c r="F7" i="29" s="1"/>
  <c r="F10" i="29"/>
  <c r="D26" i="29"/>
  <c r="F26" i="29" s="1"/>
  <c r="D8" i="28"/>
  <c r="D9" i="28"/>
  <c r="F9" i="28" s="1"/>
  <c r="J9" i="28" s="1"/>
  <c r="K9" i="28" s="1"/>
  <c r="M9" i="28" s="1"/>
  <c r="L26" i="28"/>
  <c r="J26" i="28"/>
  <c r="K26" i="28" s="1"/>
  <c r="M26" i="28" s="1"/>
  <c r="L9" i="28"/>
  <c r="J7" i="28"/>
  <c r="K7" i="28" s="1"/>
  <c r="L7" i="28"/>
  <c r="F23" i="28"/>
  <c r="J25" i="28"/>
  <c r="K25" i="28" s="1"/>
  <c r="M25" i="28" s="1"/>
  <c r="L25" i="28"/>
  <c r="F8" i="28"/>
  <c r="L15" i="28"/>
  <c r="J15" i="28"/>
  <c r="K15" i="28" s="1"/>
  <c r="M15" i="28" s="1"/>
  <c r="D24" i="28"/>
  <c r="F24" i="28" s="1"/>
  <c r="D23" i="28"/>
  <c r="F17" i="28"/>
  <c r="F16" i="28"/>
  <c r="D10" i="28"/>
  <c r="F10" i="28" s="1"/>
  <c r="D18" i="28"/>
  <c r="F18" i="28" s="1"/>
  <c r="D15" i="27"/>
  <c r="F15" i="27" s="1"/>
  <c r="D24" i="27"/>
  <c r="F24" i="27" s="1"/>
  <c r="D9" i="27"/>
  <c r="F9" i="27" s="1"/>
  <c r="L9" i="27" s="1"/>
  <c r="L17" i="27"/>
  <c r="J17" i="27"/>
  <c r="K17" i="27" s="1"/>
  <c r="M17" i="27" s="1"/>
  <c r="L26" i="27"/>
  <c r="J26" i="27"/>
  <c r="K26" i="27" s="1"/>
  <c r="M26" i="27" s="1"/>
  <c r="F8" i="27"/>
  <c r="J7" i="27"/>
  <c r="K7" i="27" s="1"/>
  <c r="L7" i="27"/>
  <c r="J16" i="27"/>
  <c r="K16" i="27" s="1"/>
  <c r="L16" i="27"/>
  <c r="J25" i="27"/>
  <c r="K25" i="27" s="1"/>
  <c r="M25" i="27" s="1"/>
  <c r="L25" i="27"/>
  <c r="F18" i="27"/>
  <c r="D10" i="27"/>
  <c r="F10" i="27" s="1"/>
  <c r="F23" i="27"/>
  <c r="D24" i="12"/>
  <c r="F24" i="12" s="1"/>
  <c r="F26" i="12"/>
  <c r="D23" i="12"/>
  <c r="F23" i="12" s="1"/>
  <c r="D25" i="12"/>
  <c r="F25" i="12" s="1"/>
  <c r="D17" i="12"/>
  <c r="F17" i="12" s="1"/>
  <c r="D18" i="12"/>
  <c r="F18" i="12" s="1"/>
  <c r="D16" i="12"/>
  <c r="F16" i="12" s="1"/>
  <c r="F9" i="12"/>
  <c r="L9" i="12" s="1"/>
  <c r="L7" i="12"/>
  <c r="J7" i="12"/>
  <c r="K7" i="12" s="1"/>
  <c r="M7" i="12" s="1"/>
  <c r="J10" i="12"/>
  <c r="K10" i="12" s="1"/>
  <c r="L10" i="12"/>
  <c r="D8" i="12"/>
  <c r="F8" i="12" s="1"/>
  <c r="M24" i="29" l="1"/>
  <c r="M16" i="29"/>
  <c r="L26" i="29"/>
  <c r="J26" i="29"/>
  <c r="K26" i="29" s="1"/>
  <c r="M26" i="29" s="1"/>
  <c r="J7" i="29"/>
  <c r="K7" i="29" s="1"/>
  <c r="L7" i="29"/>
  <c r="L9" i="29"/>
  <c r="J9" i="29"/>
  <c r="K9" i="29" s="1"/>
  <c r="J18" i="29"/>
  <c r="K18" i="29" s="1"/>
  <c r="L18" i="29"/>
  <c r="L8" i="29"/>
  <c r="J8" i="29"/>
  <c r="K8" i="29" s="1"/>
  <c r="M8" i="29" s="1"/>
  <c r="L15" i="29"/>
  <c r="J15" i="29"/>
  <c r="K15" i="29" s="1"/>
  <c r="M15" i="29" s="1"/>
  <c r="L10" i="29"/>
  <c r="J10" i="29"/>
  <c r="K10" i="29" s="1"/>
  <c r="M10" i="29" s="1"/>
  <c r="M7" i="28"/>
  <c r="L10" i="28"/>
  <c r="J10" i="28"/>
  <c r="K10" i="28" s="1"/>
  <c r="M10" i="28" s="1"/>
  <c r="J24" i="28"/>
  <c r="K24" i="28" s="1"/>
  <c r="M24" i="28" s="1"/>
  <c r="L24" i="28"/>
  <c r="J16" i="28"/>
  <c r="L16" i="28"/>
  <c r="K16" i="28"/>
  <c r="M16" i="28" s="1"/>
  <c r="J17" i="28"/>
  <c r="K17" i="28" s="1"/>
  <c r="L17" i="28"/>
  <c r="L23" i="28"/>
  <c r="J23" i="28"/>
  <c r="K23" i="28" s="1"/>
  <c r="M23" i="28" s="1"/>
  <c r="L18" i="28"/>
  <c r="J18" i="28"/>
  <c r="K18" i="28" s="1"/>
  <c r="L8" i="28"/>
  <c r="J8" i="28"/>
  <c r="K8" i="28" s="1"/>
  <c r="M8" i="28" s="1"/>
  <c r="J15" i="27"/>
  <c r="K15" i="27" s="1"/>
  <c r="M15" i="27" s="1"/>
  <c r="L15" i="27"/>
  <c r="M16" i="27"/>
  <c r="M7" i="27"/>
  <c r="J9" i="27"/>
  <c r="K9" i="27" s="1"/>
  <c r="M9" i="27" s="1"/>
  <c r="L10" i="27"/>
  <c r="J10" i="27"/>
  <c r="K10" i="27" s="1"/>
  <c r="L23" i="27"/>
  <c r="J23" i="27"/>
  <c r="K23" i="27" s="1"/>
  <c r="L24" i="27"/>
  <c r="J24" i="27"/>
  <c r="K24" i="27" s="1"/>
  <c r="M24" i="27" s="1"/>
  <c r="L18" i="27"/>
  <c r="J18" i="27"/>
  <c r="K18" i="27" s="1"/>
  <c r="L8" i="27"/>
  <c r="J8" i="27"/>
  <c r="K8" i="27" s="1"/>
  <c r="M8" i="27" s="1"/>
  <c r="J25" i="12"/>
  <c r="K25" i="12" s="1"/>
  <c r="M25" i="12" s="1"/>
  <c r="L25" i="12"/>
  <c r="L23" i="12"/>
  <c r="J23" i="12"/>
  <c r="K23" i="12" s="1"/>
  <c r="M23" i="12" s="1"/>
  <c r="J24" i="12"/>
  <c r="K24" i="12"/>
  <c r="L24" i="12"/>
  <c r="L26" i="12"/>
  <c r="J26" i="12"/>
  <c r="K26" i="12" s="1"/>
  <c r="M26" i="12" s="1"/>
  <c r="J16" i="12"/>
  <c r="K16" i="12" s="1"/>
  <c r="L16" i="12"/>
  <c r="L18" i="12"/>
  <c r="J18" i="12"/>
  <c r="K18" i="12" s="1"/>
  <c r="M18" i="12" s="1"/>
  <c r="J17" i="12"/>
  <c r="K17" i="12" s="1"/>
  <c r="L17" i="12"/>
  <c r="J9" i="12"/>
  <c r="K9" i="12" s="1"/>
  <c r="M9" i="12" s="1"/>
  <c r="M10" i="12"/>
  <c r="L8" i="12"/>
  <c r="J8" i="12"/>
  <c r="K8" i="12" s="1"/>
  <c r="M18" i="29" l="1"/>
  <c r="M9" i="29"/>
  <c r="M7" i="29"/>
  <c r="M18" i="28"/>
  <c r="M17" i="28"/>
  <c r="M23" i="27"/>
  <c r="M10" i="27"/>
  <c r="M18" i="27"/>
  <c r="M24" i="12"/>
  <c r="M16" i="12"/>
  <c r="M17" i="12"/>
  <c r="M8" i="12"/>
  <c r="D15" i="12" l="1"/>
  <c r="F15" i="12" s="1"/>
  <c r="L15" i="12" l="1"/>
  <c r="J15" i="12"/>
  <c r="K15" i="12" s="1"/>
  <c r="M15" i="12" s="1"/>
</calcChain>
</file>

<file path=xl/sharedStrings.xml><?xml version="1.0" encoding="utf-8"?>
<sst xmlns="http://schemas.openxmlformats.org/spreadsheetml/2006/main" count="268" uniqueCount="30">
  <si>
    <t>totale</t>
  </si>
  <si>
    <t>TABELLE STIPENDI MENSILI  PERSONALE A TEMPO DETERMINATO</t>
  </si>
  <si>
    <t>indenn. ateneo</t>
  </si>
  <si>
    <t>stip. base con IIS conglobata</t>
  </si>
  <si>
    <t>*</t>
  </si>
  <si>
    <t>oneri= inps 25,07% + enpdep 0,093% + irap 8,50%</t>
  </si>
  <si>
    <t>Valore annuo tabellare</t>
  </si>
  <si>
    <t>13 ma</t>
  </si>
  <si>
    <t>Indennità Accessoria Mensile</t>
  </si>
  <si>
    <t>costo mensile</t>
  </si>
  <si>
    <t>tot.lordo senza oneri</t>
  </si>
  <si>
    <t>Inq</t>
  </si>
  <si>
    <t>tfr</t>
  </si>
  <si>
    <t>oneri *</t>
  </si>
  <si>
    <t>Indennità di Ateneo</t>
  </si>
  <si>
    <t xml:space="preserve">Retrib. di Posizione e di Risultato (15%) comprensive di 13a </t>
  </si>
  <si>
    <t>Performance Organizzativa e Individuale</t>
  </si>
  <si>
    <t>Operatori</t>
  </si>
  <si>
    <t>Collaboratori</t>
  </si>
  <si>
    <t>Funzionari</t>
  </si>
  <si>
    <t>Elevate Professionalità</t>
  </si>
  <si>
    <t xml:space="preserve">   COSTI PER PERSONALE su Fondi RICERCA e FIN. DIVERSI INPS (inferiori all'anno)</t>
  </si>
  <si>
    <t>CCNL 2019/2021 siglato il 18/01/2024 valido dal 01/01/2025 a 31/03/2025</t>
  </si>
  <si>
    <t>IVC 2024</t>
  </si>
  <si>
    <t>CCNL 2019/2021 siglato il 18/01/2024 valido dal 01/04/2025 a 30/06/2025</t>
  </si>
  <si>
    <t>IVC 2024 e  apr-giu 25</t>
  </si>
  <si>
    <t>CCNL 2019/2021 siglato il 18/01/2024 valido dal 01/07/2025</t>
  </si>
  <si>
    <t>IVC 2022-25 da luglio 25</t>
  </si>
  <si>
    <t>IVC 2024 e IVC da luglio 25</t>
  </si>
  <si>
    <t>IVC 2024 e IVC aprile-giugno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</si>
</sst>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-* #,##0.00_-;\-* #,##0.00_-;_-* &quot;-&quot;_-;_-@_-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b/>
      <i/>
      <sz val="10"/>
      <name val="Verdana"/>
      <family val="2"/>
    </font>
    <font>
      <b/>
      <i/>
      <sz val="9"/>
      <name val="Verdan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1" fontId="2" fillId="0" borderId="0" applyFont="0" applyFill="0" applyBorder="0" applyAlignment="0" applyProtection="0"/>
    <xf numFmtId="0" fontId="1" fillId="0" borderId="0"/>
    <xf numFmtId="41" fontId="11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0" fontId="4" fillId="0" borderId="0" xfId="0" applyFont="1" applyAlignment="1">
      <alignment vertical="center"/>
    </xf>
    <xf numFmtId="164" fontId="4" fillId="0" borderId="1" xfId="0" applyNumberFormat="1" applyFont="1" applyBorder="1"/>
    <xf numFmtId="164" fontId="4" fillId="0" borderId="1" xfId="1" applyNumberFormat="1" applyFont="1" applyBorder="1"/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0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3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1" fontId="4" fillId="0" borderId="0" xfId="0" applyNumberFormat="1" applyFont="1" applyAlignment="1">
      <alignment vertical="center"/>
    </xf>
    <xf numFmtId="41" fontId="6" fillId="0" borderId="0" xfId="3" applyFont="1" applyAlignment="1">
      <alignment vertical="center"/>
    </xf>
    <xf numFmtId="164" fontId="4" fillId="0" borderId="1" xfId="4" applyNumberFormat="1" applyFont="1" applyBorder="1" applyAlignment="1">
      <alignment vertical="center"/>
    </xf>
    <xf numFmtId="0" fontId="9" fillId="0" borderId="1" xfId="4" applyFont="1" applyBorder="1" applyAlignment="1">
      <alignment horizontal="center" vertical="center" wrapText="1"/>
    </xf>
    <xf numFmtId="0" fontId="9" fillId="0" borderId="0" xfId="4" applyFont="1" applyAlignment="1">
      <alignment horizontal="right" vertical="center"/>
    </xf>
    <xf numFmtId="0" fontId="4" fillId="0" borderId="1" xfId="4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10" fontId="3" fillId="0" borderId="1" xfId="0" applyNumberFormat="1" applyFont="1" applyBorder="1" applyAlignment="1">
      <alignment horizontal="right" vertical="center"/>
    </xf>
    <xf numFmtId="10" fontId="3" fillId="0" borderId="0" xfId="0" applyNumberFormat="1" applyFont="1" applyAlignment="1">
      <alignment horizontal="right" vertical="center"/>
    </xf>
    <xf numFmtId="0" fontId="4" fillId="0" borderId="1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</cellXfs>
  <cellStyles count="5">
    <cellStyle name="Migliaia [0]" xfId="1" builtinId="6"/>
    <cellStyle name="Migliaia [0] 2" xfId="3" xr:uid="{849BE1EF-21CB-4DC4-B1D4-374386AD0AC3}"/>
    <cellStyle name="Normale" xfId="0" builtinId="0"/>
    <cellStyle name="Normale 2" xfId="4" xr:uid="{A0FCD0DE-01CB-427A-BC84-81E5EF9FAA62}"/>
    <cellStyle name="Normale 3" xfId="2" xr:uid="{1A7E9D3E-B4DA-43FD-BDD6-2037CA649A4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48F61-37B3-44E2-92B0-DC822010A680}">
  <sheetPr>
    <pageSetUpPr fitToPage="1"/>
  </sheetPr>
  <dimension ref="A1:S30"/>
  <sheetViews>
    <sheetView tabSelected="1" zoomScaleNormal="100" zoomScaleSheetLayoutView="100" workbookViewId="0">
      <selection activeCell="A3" sqref="A3"/>
    </sheetView>
  </sheetViews>
  <sheetFormatPr defaultColWidth="12.28515625" defaultRowHeight="12.75" x14ac:dyDescent="0.2"/>
  <cols>
    <col min="1" max="1" width="23" style="1" customWidth="1"/>
    <col min="2" max="2" width="13.7109375" style="1" customWidth="1"/>
    <col min="3" max="3" width="11" style="1" customWidth="1"/>
    <col min="4" max="4" width="9.7109375" style="1" bestFit="1" customWidth="1"/>
    <col min="5" max="5" width="14.28515625" style="1" customWidth="1"/>
    <col min="6" max="8" width="14.85546875" style="1" customWidth="1"/>
    <col min="9" max="9" width="16" style="1" customWidth="1"/>
    <col min="10" max="10" width="10.140625" style="1" customWidth="1"/>
    <col min="11" max="11" width="11.28515625" style="1" bestFit="1" customWidth="1"/>
    <col min="12" max="12" width="12.28515625" style="1" customWidth="1"/>
    <col min="13" max="13" width="14.42578125" style="1" customWidth="1"/>
    <col min="14" max="14" width="13.28515625" style="1" customWidth="1"/>
    <col min="15" max="15" width="13.85546875" style="1" customWidth="1"/>
    <col min="16" max="16" width="11.42578125" style="1" customWidth="1"/>
    <col min="17" max="17" width="11.28515625" style="1" bestFit="1" customWidth="1"/>
    <col min="18" max="18" width="16.42578125" style="1" bestFit="1" customWidth="1"/>
    <col min="19" max="16384" width="12.28515625" style="1"/>
  </cols>
  <sheetData>
    <row r="1" spans="1:17" ht="14.25" x14ac:dyDescent="0.2">
      <c r="A1" s="32" t="s">
        <v>21</v>
      </c>
      <c r="B1" s="32"/>
      <c r="C1" s="32"/>
      <c r="D1" s="32"/>
      <c r="E1" s="32"/>
      <c r="F1" s="32"/>
      <c r="G1" s="32"/>
      <c r="H1" s="32"/>
      <c r="I1" s="32"/>
      <c r="J1" s="32"/>
      <c r="M1" s="7"/>
      <c r="N1" s="7"/>
      <c r="O1" s="8"/>
    </row>
    <row r="2" spans="1:17" ht="15" x14ac:dyDescent="0.2">
      <c r="A2" s="9"/>
      <c r="B2" s="6" t="s">
        <v>1</v>
      </c>
      <c r="C2" s="6"/>
      <c r="D2" s="6"/>
      <c r="E2" s="6"/>
      <c r="F2" s="6"/>
      <c r="G2" s="6"/>
      <c r="H2" s="6"/>
      <c r="I2" s="6"/>
      <c r="J2" s="6"/>
      <c r="K2" s="8"/>
      <c r="L2" s="8"/>
      <c r="M2" s="28">
        <v>1</v>
      </c>
      <c r="N2" s="10"/>
      <c r="O2" s="8"/>
      <c r="P2" s="8"/>
      <c r="Q2" s="8"/>
    </row>
    <row r="3" spans="1:17" ht="15" x14ac:dyDescent="0.2">
      <c r="A3" s="9"/>
      <c r="B3" s="6"/>
      <c r="C3" s="6"/>
      <c r="D3" s="6"/>
      <c r="E3" s="6"/>
      <c r="F3" s="6"/>
      <c r="G3" s="6"/>
      <c r="H3" s="6"/>
      <c r="I3" s="6"/>
      <c r="J3" s="6"/>
      <c r="K3" s="8"/>
      <c r="L3" s="8"/>
      <c r="M3" s="29"/>
      <c r="N3" s="10"/>
      <c r="O3" s="8"/>
      <c r="P3" s="8"/>
      <c r="Q3" s="8"/>
    </row>
    <row r="4" spans="1:17" ht="15" x14ac:dyDescent="0.2">
      <c r="B4" s="8"/>
      <c r="C4" s="8"/>
      <c r="D4" s="8"/>
      <c r="F4" s="11"/>
      <c r="G4" s="11"/>
      <c r="H4" s="11"/>
      <c r="I4" s="11"/>
      <c r="J4" s="8"/>
      <c r="K4" s="8"/>
      <c r="M4" s="25" t="s">
        <v>22</v>
      </c>
      <c r="N4" s="12"/>
      <c r="O4" s="7"/>
      <c r="P4" s="8"/>
      <c r="Q4" s="8"/>
    </row>
    <row r="5" spans="1:17" ht="67.5" x14ac:dyDescent="0.2">
      <c r="A5" s="13" t="s">
        <v>11</v>
      </c>
      <c r="B5" s="14" t="s">
        <v>3</v>
      </c>
      <c r="C5" s="24" t="s">
        <v>23</v>
      </c>
      <c r="D5" s="13" t="s">
        <v>7</v>
      </c>
      <c r="E5" s="14" t="s">
        <v>2</v>
      </c>
      <c r="F5" s="13" t="s">
        <v>0</v>
      </c>
      <c r="G5" s="4" t="s">
        <v>15</v>
      </c>
      <c r="H5" s="4" t="s">
        <v>8</v>
      </c>
      <c r="I5" s="4" t="s">
        <v>16</v>
      </c>
      <c r="J5" s="14" t="s">
        <v>12</v>
      </c>
      <c r="K5" s="14" t="s">
        <v>10</v>
      </c>
      <c r="L5" s="14" t="s">
        <v>13</v>
      </c>
      <c r="M5" s="14" t="s">
        <v>9</v>
      </c>
      <c r="N5" s="20"/>
      <c r="O5" s="15" t="s">
        <v>6</v>
      </c>
      <c r="P5" s="30" t="s">
        <v>23</v>
      </c>
      <c r="Q5" s="15" t="s">
        <v>14</v>
      </c>
    </row>
    <row r="6" spans="1:17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7" x14ac:dyDescent="0.2">
      <c r="A7" s="26" t="s">
        <v>17</v>
      </c>
      <c r="B7" s="16">
        <f t="shared" ref="B7:B10" si="0">ROUND(O7/12*$M$2,2)</f>
        <v>1663.96</v>
      </c>
      <c r="C7" s="16">
        <f t="shared" ref="C7:C10" si="1">ROUND((P7*7.7)/12*$M$2,2)</f>
        <v>64.06</v>
      </c>
      <c r="D7" s="16">
        <f t="shared" ref="D7:D10" si="2">ROUND((B7+C7)/12,2)</f>
        <v>144</v>
      </c>
      <c r="E7" s="16">
        <f t="shared" ref="E7:E10" si="3">ROUND(Q7/12*$M$2,2)</f>
        <v>128.85</v>
      </c>
      <c r="F7" s="16">
        <f>SUM(B7:E7)</f>
        <v>2000.87</v>
      </c>
      <c r="G7" s="16"/>
      <c r="H7" s="3">
        <f t="shared" ref="H7:H9" si="4">ROUND(140*$M$2,2)</f>
        <v>140</v>
      </c>
      <c r="I7" s="3">
        <f t="shared" ref="I7:I9" si="5">ROUND(600/12,2)</f>
        <v>50</v>
      </c>
      <c r="J7" s="2">
        <f t="shared" ref="J7:J10" si="6">(F7+G7+H7+I7)/13.5-(F7+G7+H7+I7)*0.5%</f>
        <v>151.33231666666666</v>
      </c>
      <c r="K7" s="2">
        <f t="shared" ref="K7:K10" si="7">ROUND(F7+G7+J7+H7+I7,2)</f>
        <v>2342.1999999999998</v>
      </c>
      <c r="L7" s="2">
        <f t="shared" ref="L7:L10" si="8">ROUND((F7+G7+H7+I7)*33.663%,2)</f>
        <v>737.51</v>
      </c>
      <c r="M7" s="17">
        <f t="shared" ref="M7" si="9">K7+L7</f>
        <v>3079.71</v>
      </c>
      <c r="N7" s="18"/>
      <c r="O7" s="23">
        <v>19967.47</v>
      </c>
      <c r="P7" s="23">
        <v>99.84</v>
      </c>
      <c r="Q7" s="23">
        <v>1546.16</v>
      </c>
    </row>
    <row r="8" spans="1:17" x14ac:dyDescent="0.2">
      <c r="A8" s="26" t="s">
        <v>18</v>
      </c>
      <c r="B8" s="16">
        <f t="shared" si="0"/>
        <v>1746.05</v>
      </c>
      <c r="C8" s="16">
        <f t="shared" si="1"/>
        <v>67.22</v>
      </c>
      <c r="D8" s="16">
        <f t="shared" si="2"/>
        <v>151.11000000000001</v>
      </c>
      <c r="E8" s="16">
        <f t="shared" si="3"/>
        <v>171.16</v>
      </c>
      <c r="F8" s="16">
        <f>SUM(B8:E8)</f>
        <v>2135.54</v>
      </c>
      <c r="G8" s="16"/>
      <c r="H8" s="3">
        <f t="shared" si="4"/>
        <v>140</v>
      </c>
      <c r="I8" s="3">
        <f t="shared" si="5"/>
        <v>50</v>
      </c>
      <c r="J8" s="2">
        <f t="shared" si="6"/>
        <v>160.63452222222222</v>
      </c>
      <c r="K8" s="2">
        <f t="shared" si="7"/>
        <v>2486.17</v>
      </c>
      <c r="L8" s="2">
        <f t="shared" si="8"/>
        <v>782.85</v>
      </c>
      <c r="M8" s="17">
        <f>K8+L8</f>
        <v>3269.02</v>
      </c>
      <c r="N8" s="18"/>
      <c r="O8" s="23">
        <v>20952.599999999999</v>
      </c>
      <c r="P8" s="23">
        <f>8.73*12</f>
        <v>104.76</v>
      </c>
      <c r="Q8" s="23">
        <v>2053.9700000000003</v>
      </c>
    </row>
    <row r="9" spans="1:17" x14ac:dyDescent="0.2">
      <c r="A9" s="26" t="s">
        <v>19</v>
      </c>
      <c r="B9" s="16">
        <f t="shared" si="0"/>
        <v>1991.87</v>
      </c>
      <c r="C9" s="16">
        <f t="shared" si="1"/>
        <v>76.69</v>
      </c>
      <c r="D9" s="16">
        <f t="shared" si="2"/>
        <v>172.38</v>
      </c>
      <c r="E9" s="16">
        <f t="shared" si="3"/>
        <v>236.85</v>
      </c>
      <c r="F9" s="16">
        <f>SUM(B9:E9)</f>
        <v>2477.79</v>
      </c>
      <c r="G9" s="16"/>
      <c r="H9" s="3">
        <f t="shared" si="4"/>
        <v>140</v>
      </c>
      <c r="I9" s="3">
        <f t="shared" si="5"/>
        <v>50</v>
      </c>
      <c r="J9" s="2">
        <f t="shared" si="6"/>
        <v>184.27512407407406</v>
      </c>
      <c r="K9" s="2">
        <f t="shared" si="7"/>
        <v>2852.07</v>
      </c>
      <c r="L9" s="2">
        <f t="shared" si="8"/>
        <v>898.06</v>
      </c>
      <c r="M9" s="17">
        <f>K9+L9</f>
        <v>3750.13</v>
      </c>
      <c r="N9" s="18"/>
      <c r="O9" s="23">
        <v>23902.47</v>
      </c>
      <c r="P9" s="23">
        <v>119.52</v>
      </c>
      <c r="Q9" s="23">
        <v>2842.16</v>
      </c>
    </row>
    <row r="10" spans="1:17" x14ac:dyDescent="0.2">
      <c r="A10" s="26" t="s">
        <v>20</v>
      </c>
      <c r="B10" s="16">
        <f t="shared" si="0"/>
        <v>2240.84</v>
      </c>
      <c r="C10" s="16">
        <f t="shared" si="1"/>
        <v>86.24</v>
      </c>
      <c r="D10" s="16">
        <f t="shared" si="2"/>
        <v>193.92</v>
      </c>
      <c r="E10" s="16">
        <f t="shared" si="3"/>
        <v>279.95</v>
      </c>
      <c r="F10" s="16">
        <f>SUM(B10:E10)</f>
        <v>2800.95</v>
      </c>
      <c r="G10" s="3">
        <f>ROUND(((3099)*1.15)/12,2)</f>
        <v>296.99</v>
      </c>
      <c r="H10" s="16"/>
      <c r="I10" s="16"/>
      <c r="J10" s="2">
        <f t="shared" si="6"/>
        <v>213.98733703703701</v>
      </c>
      <c r="K10" s="2">
        <f t="shared" si="7"/>
        <v>3311.93</v>
      </c>
      <c r="L10" s="2">
        <f t="shared" si="8"/>
        <v>1042.8599999999999</v>
      </c>
      <c r="M10" s="17">
        <f>K10+L10</f>
        <v>4354.79</v>
      </c>
      <c r="N10" s="18"/>
      <c r="O10" s="23">
        <v>26890.05</v>
      </c>
      <c r="P10" s="23">
        <v>134.4</v>
      </c>
      <c r="Q10" s="23">
        <v>3359.4</v>
      </c>
    </row>
    <row r="11" spans="1:17" ht="15" x14ac:dyDescent="0.2">
      <c r="A11" s="9"/>
      <c r="B11" s="6"/>
      <c r="C11" s="6"/>
      <c r="D11" s="6"/>
      <c r="E11" s="6"/>
      <c r="F11" s="6"/>
      <c r="G11" s="6"/>
      <c r="H11" s="6"/>
      <c r="I11" s="6"/>
      <c r="J11" s="6"/>
      <c r="K11" s="8"/>
      <c r="L11" s="8"/>
      <c r="M11" s="29"/>
      <c r="N11" s="10"/>
      <c r="O11" s="8"/>
      <c r="P11" s="8"/>
      <c r="Q11" s="8"/>
    </row>
    <row r="12" spans="1:17" ht="15" x14ac:dyDescent="0.2">
      <c r="B12" s="8"/>
      <c r="C12" s="8"/>
      <c r="D12" s="8"/>
      <c r="F12" s="11"/>
      <c r="G12" s="11"/>
      <c r="H12" s="11"/>
      <c r="I12" s="11"/>
      <c r="J12" s="8"/>
      <c r="K12" s="8"/>
      <c r="M12" s="25" t="s">
        <v>24</v>
      </c>
      <c r="N12" s="12"/>
      <c r="O12" s="7"/>
      <c r="P12" s="8"/>
      <c r="Q12" s="8"/>
    </row>
    <row r="13" spans="1:17" ht="67.5" x14ac:dyDescent="0.2">
      <c r="A13" s="13" t="s">
        <v>11</v>
      </c>
      <c r="B13" s="14" t="s">
        <v>3</v>
      </c>
      <c r="C13" s="24" t="s">
        <v>29</v>
      </c>
      <c r="D13" s="13" t="s">
        <v>7</v>
      </c>
      <c r="E13" s="14" t="s">
        <v>2</v>
      </c>
      <c r="F13" s="13" t="s">
        <v>0</v>
      </c>
      <c r="G13" s="4" t="s">
        <v>15</v>
      </c>
      <c r="H13" s="4" t="s">
        <v>8</v>
      </c>
      <c r="I13" s="4" t="s">
        <v>16</v>
      </c>
      <c r="J13" s="14" t="s">
        <v>12</v>
      </c>
      <c r="K13" s="14" t="s">
        <v>10</v>
      </c>
      <c r="L13" s="14" t="s">
        <v>13</v>
      </c>
      <c r="M13" s="14" t="s">
        <v>9</v>
      </c>
      <c r="N13" s="20"/>
      <c r="O13" s="15" t="s">
        <v>6</v>
      </c>
      <c r="P13" s="31" t="s">
        <v>25</v>
      </c>
      <c r="Q13" s="15" t="s">
        <v>14</v>
      </c>
    </row>
    <row r="14" spans="1:17" x14ac:dyDescent="0.2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7" x14ac:dyDescent="0.2">
      <c r="A15" s="26" t="s">
        <v>17</v>
      </c>
      <c r="B15" s="16">
        <f t="shared" ref="B15:B18" si="10">ROUND(O15/12*$M$2,2)</f>
        <v>1663.96</v>
      </c>
      <c r="C15" s="16">
        <f>+P15/12*$M$2</f>
        <v>74.044166666666669</v>
      </c>
      <c r="D15" s="16">
        <f t="shared" ref="D15:D18" si="11">ROUND((B15+C15)/12,2)</f>
        <v>144.83000000000001</v>
      </c>
      <c r="E15" s="16">
        <f t="shared" ref="E15:E18" si="12">ROUND(Q15/12*$M$2,2)</f>
        <v>128.85</v>
      </c>
      <c r="F15" s="16">
        <f>SUM(B15:E15)</f>
        <v>2011.6841666666664</v>
      </c>
      <c r="G15" s="16"/>
      <c r="H15" s="3">
        <f t="shared" ref="H15:H17" si="13">ROUND(140*$M$2,2)</f>
        <v>140</v>
      </c>
      <c r="I15" s="3">
        <f t="shared" ref="I15:I17" si="14">ROUND(600/12,2)</f>
        <v>50</v>
      </c>
      <c r="J15" s="2">
        <f t="shared" ref="J15:J18" si="15">(F15+G15+H15+I15)/13.5-(F15+G15+H15+I15)*0.5%</f>
        <v>152.07929521604936</v>
      </c>
      <c r="K15" s="2">
        <f t="shared" ref="K15:K18" si="16">ROUND(F15+G15+J15+H15+I15,2)</f>
        <v>2353.7600000000002</v>
      </c>
      <c r="L15" s="2">
        <f t="shared" ref="L15:L18" si="17">ROUND((F15+G15+H15+I15)*33.663%,2)</f>
        <v>741.15</v>
      </c>
      <c r="M15" s="17">
        <f t="shared" ref="M15" si="18">K15+L15</f>
        <v>3094.9100000000003</v>
      </c>
      <c r="N15" s="18"/>
      <c r="O15" s="23">
        <v>19967.47</v>
      </c>
      <c r="P15" s="23">
        <v>888.53</v>
      </c>
      <c r="Q15" s="23">
        <v>1546.16</v>
      </c>
    </row>
    <row r="16" spans="1:17" x14ac:dyDescent="0.2">
      <c r="A16" s="26" t="s">
        <v>18</v>
      </c>
      <c r="B16" s="16">
        <f t="shared" si="10"/>
        <v>1746.05</v>
      </c>
      <c r="C16" s="16">
        <f t="shared" ref="C16:C18" si="19">+P16/12*$M$2</f>
        <v>77.700833333333335</v>
      </c>
      <c r="D16" s="16">
        <f t="shared" si="11"/>
        <v>151.97999999999999</v>
      </c>
      <c r="E16" s="16">
        <f t="shared" si="12"/>
        <v>171.16</v>
      </c>
      <c r="F16" s="16">
        <f>SUM(B16:E16)</f>
        <v>2146.8908333333334</v>
      </c>
      <c r="G16" s="16"/>
      <c r="H16" s="3">
        <f t="shared" si="13"/>
        <v>140</v>
      </c>
      <c r="I16" s="3">
        <f t="shared" si="14"/>
        <v>50</v>
      </c>
      <c r="J16" s="2">
        <f t="shared" si="15"/>
        <v>161.41857052469138</v>
      </c>
      <c r="K16" s="2">
        <f t="shared" si="16"/>
        <v>2498.31</v>
      </c>
      <c r="L16" s="2">
        <f t="shared" si="17"/>
        <v>786.67</v>
      </c>
      <c r="M16" s="17">
        <f>K16+L16</f>
        <v>3284.98</v>
      </c>
      <c r="N16" s="18"/>
      <c r="O16" s="23">
        <v>20952.599999999999</v>
      </c>
      <c r="P16" s="23">
        <v>932.41</v>
      </c>
      <c r="Q16" s="23">
        <v>2053.9700000000003</v>
      </c>
    </row>
    <row r="17" spans="1:19" x14ac:dyDescent="0.2">
      <c r="A17" s="26" t="s">
        <v>19</v>
      </c>
      <c r="B17" s="16">
        <f t="shared" si="10"/>
        <v>1991.87</v>
      </c>
      <c r="C17" s="16">
        <f t="shared" si="19"/>
        <v>88.641666666666666</v>
      </c>
      <c r="D17" s="16">
        <f t="shared" si="11"/>
        <v>173.38</v>
      </c>
      <c r="E17" s="16">
        <f t="shared" si="12"/>
        <v>236.85</v>
      </c>
      <c r="F17" s="16">
        <f>SUM(B17:E17)</f>
        <v>2490.7416666666668</v>
      </c>
      <c r="G17" s="16"/>
      <c r="H17" s="3">
        <f t="shared" si="13"/>
        <v>140</v>
      </c>
      <c r="I17" s="3">
        <f t="shared" si="14"/>
        <v>50</v>
      </c>
      <c r="J17" s="2">
        <f t="shared" si="15"/>
        <v>185.16974845679013</v>
      </c>
      <c r="K17" s="2">
        <f t="shared" si="16"/>
        <v>2865.91</v>
      </c>
      <c r="L17" s="2">
        <f t="shared" si="17"/>
        <v>902.42</v>
      </c>
      <c r="M17" s="17">
        <f>K17+L17</f>
        <v>3768.33</v>
      </c>
      <c r="N17" s="18"/>
      <c r="O17" s="23">
        <v>23902.47</v>
      </c>
      <c r="P17" s="23">
        <v>1063.7</v>
      </c>
      <c r="Q17" s="23">
        <v>2842.16</v>
      </c>
    </row>
    <row r="18" spans="1:19" x14ac:dyDescent="0.2">
      <c r="A18" s="26" t="s">
        <v>20</v>
      </c>
      <c r="B18" s="16">
        <f t="shared" si="10"/>
        <v>2240.84</v>
      </c>
      <c r="C18" s="16">
        <f t="shared" si="19"/>
        <v>99.69</v>
      </c>
      <c r="D18" s="16">
        <f t="shared" si="11"/>
        <v>195.04</v>
      </c>
      <c r="E18" s="16">
        <f t="shared" si="12"/>
        <v>279.95</v>
      </c>
      <c r="F18" s="16">
        <f>SUM(B18:E18)</f>
        <v>2815.52</v>
      </c>
      <c r="G18" s="3">
        <f>ROUND(((3099)*1.15)/12,2)</f>
        <v>296.99</v>
      </c>
      <c r="H18" s="16"/>
      <c r="I18" s="16"/>
      <c r="J18" s="2">
        <f t="shared" si="15"/>
        <v>214.99374629629631</v>
      </c>
      <c r="K18" s="2">
        <f t="shared" si="16"/>
        <v>3327.5</v>
      </c>
      <c r="L18" s="2">
        <f t="shared" si="17"/>
        <v>1047.76</v>
      </c>
      <c r="M18" s="17">
        <f>K18+L18</f>
        <v>4375.26</v>
      </c>
      <c r="N18" s="18"/>
      <c r="O18" s="23">
        <v>26890.05</v>
      </c>
      <c r="P18" s="23">
        <v>1196.28</v>
      </c>
      <c r="Q18" s="23">
        <v>3359.4</v>
      </c>
    </row>
    <row r="19" spans="1:19" ht="15" x14ac:dyDescent="0.2">
      <c r="A19" s="9"/>
      <c r="B19" s="6"/>
      <c r="C19" s="6"/>
      <c r="D19" s="6"/>
      <c r="E19" s="6"/>
      <c r="F19" s="6"/>
      <c r="G19" s="6"/>
      <c r="H19" s="6"/>
      <c r="I19" s="6"/>
      <c r="J19" s="6"/>
      <c r="K19" s="8"/>
      <c r="L19" s="8"/>
      <c r="M19" s="29"/>
      <c r="N19" s="10"/>
      <c r="O19" s="8"/>
      <c r="P19" s="8"/>
      <c r="Q19" s="8"/>
    </row>
    <row r="20" spans="1:19" ht="15" x14ac:dyDescent="0.2">
      <c r="B20" s="8"/>
      <c r="C20" s="8"/>
      <c r="D20" s="8"/>
      <c r="F20" s="11"/>
      <c r="G20" s="11"/>
      <c r="H20" s="11"/>
      <c r="I20" s="11"/>
      <c r="J20" s="8"/>
      <c r="K20" s="8"/>
      <c r="M20" s="25" t="s">
        <v>26</v>
      </c>
      <c r="N20" s="12"/>
      <c r="O20" s="7"/>
      <c r="P20" s="8"/>
      <c r="Q20" s="8"/>
    </row>
    <row r="21" spans="1:19" ht="67.5" x14ac:dyDescent="0.2">
      <c r="A21" s="13" t="s">
        <v>11</v>
      </c>
      <c r="B21" s="14" t="s">
        <v>3</v>
      </c>
      <c r="C21" s="24" t="s">
        <v>28</v>
      </c>
      <c r="D21" s="13" t="s">
        <v>7</v>
      </c>
      <c r="E21" s="14" t="s">
        <v>2</v>
      </c>
      <c r="F21" s="13" t="s">
        <v>0</v>
      </c>
      <c r="G21" s="4" t="s">
        <v>15</v>
      </c>
      <c r="H21" s="4" t="s">
        <v>8</v>
      </c>
      <c r="I21" s="4" t="s">
        <v>16</v>
      </c>
      <c r="J21" s="14" t="s">
        <v>12</v>
      </c>
      <c r="K21" s="14" t="s">
        <v>10</v>
      </c>
      <c r="L21" s="14" t="s">
        <v>13</v>
      </c>
      <c r="M21" s="14" t="s">
        <v>9</v>
      </c>
      <c r="N21" s="20"/>
      <c r="O21" s="15" t="s">
        <v>6</v>
      </c>
      <c r="P21" s="31" t="s">
        <v>27</v>
      </c>
      <c r="Q21" s="15" t="s">
        <v>14</v>
      </c>
    </row>
    <row r="22" spans="1:19" x14ac:dyDescent="0.2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9" x14ac:dyDescent="0.2">
      <c r="A23" s="26" t="s">
        <v>17</v>
      </c>
      <c r="B23" s="16">
        <f t="shared" ref="B23:B26" si="20">ROUND(O23/12*$M$2,2)</f>
        <v>1663.96</v>
      </c>
      <c r="C23" s="16">
        <f>+P23/12*$M$2</f>
        <v>80.704166666666666</v>
      </c>
      <c r="D23" s="16">
        <f t="shared" ref="D23:D26" si="21">ROUND((B23+C23)/12,2)</f>
        <v>145.38999999999999</v>
      </c>
      <c r="E23" s="16">
        <f t="shared" ref="E23:E26" si="22">ROUND(Q23/12*$M$2,2)</f>
        <v>128.85</v>
      </c>
      <c r="F23" s="16">
        <f>SUM(B23:E23)</f>
        <v>2018.9041666666667</v>
      </c>
      <c r="G23" s="16"/>
      <c r="H23" s="3">
        <f t="shared" ref="H23:H25" si="23">ROUND(140*$M$2,2)</f>
        <v>140</v>
      </c>
      <c r="I23" s="3">
        <f t="shared" ref="I23:I25" si="24">ROUND(600/12,2)</f>
        <v>50</v>
      </c>
      <c r="J23" s="2">
        <f t="shared" ref="J23:J26" si="25">(F23+G23+H23+I23)/13.5-(F23+G23+H23+I23)*0.5%</f>
        <v>152.57801003086419</v>
      </c>
      <c r="K23" s="2">
        <f t="shared" ref="K23:K26" si="26">ROUND(F23+G23+J23+H23+I23,2)</f>
        <v>2361.48</v>
      </c>
      <c r="L23" s="2">
        <f t="shared" ref="L23:L26" si="27">ROUND((F23+G23+H23+I23)*33.663%,2)</f>
        <v>743.58</v>
      </c>
      <c r="M23" s="17">
        <f t="shared" ref="M23" si="28">K23+L23</f>
        <v>3105.06</v>
      </c>
      <c r="N23" s="18"/>
      <c r="O23" s="23">
        <v>19967.47</v>
      </c>
      <c r="P23" s="23">
        <v>968.45</v>
      </c>
      <c r="Q23" s="23">
        <v>1546.16</v>
      </c>
    </row>
    <row r="24" spans="1:19" x14ac:dyDescent="0.2">
      <c r="A24" s="26" t="s">
        <v>18</v>
      </c>
      <c r="B24" s="16">
        <f t="shared" si="20"/>
        <v>1746.05</v>
      </c>
      <c r="C24" s="16">
        <f t="shared" ref="C24:C26" si="29">+P24/12*$M$2</f>
        <v>84.680833333333325</v>
      </c>
      <c r="D24" s="16">
        <f t="shared" si="21"/>
        <v>152.56</v>
      </c>
      <c r="E24" s="16">
        <f t="shared" si="22"/>
        <v>171.16</v>
      </c>
      <c r="F24" s="16">
        <f>SUM(B24:E24)</f>
        <v>2154.4508333333333</v>
      </c>
      <c r="G24" s="16"/>
      <c r="H24" s="3">
        <f t="shared" si="23"/>
        <v>140</v>
      </c>
      <c r="I24" s="3">
        <f t="shared" si="24"/>
        <v>50</v>
      </c>
      <c r="J24" s="2">
        <f t="shared" si="25"/>
        <v>161.94077052469137</v>
      </c>
      <c r="K24" s="2">
        <f t="shared" si="26"/>
        <v>2506.39</v>
      </c>
      <c r="L24" s="2">
        <f t="shared" si="27"/>
        <v>789.21</v>
      </c>
      <c r="M24" s="17">
        <f>K24+L24</f>
        <v>3295.6</v>
      </c>
      <c r="N24" s="18"/>
      <c r="O24" s="23">
        <v>20952.599999999999</v>
      </c>
      <c r="P24" s="23">
        <v>1016.17</v>
      </c>
      <c r="Q24" s="23">
        <v>2053.9700000000003</v>
      </c>
    </row>
    <row r="25" spans="1:19" x14ac:dyDescent="0.2">
      <c r="A25" s="26" t="s">
        <v>19</v>
      </c>
      <c r="B25" s="16">
        <f t="shared" si="20"/>
        <v>1991.87</v>
      </c>
      <c r="C25" s="16">
        <f t="shared" si="29"/>
        <v>96.611666666666665</v>
      </c>
      <c r="D25" s="16">
        <f t="shared" si="21"/>
        <v>174.04</v>
      </c>
      <c r="E25" s="16">
        <f t="shared" si="22"/>
        <v>236.85</v>
      </c>
      <c r="F25" s="16">
        <f>SUM(B25:E25)</f>
        <v>2499.3716666666664</v>
      </c>
      <c r="G25" s="16"/>
      <c r="H25" s="3">
        <f t="shared" si="23"/>
        <v>140</v>
      </c>
      <c r="I25" s="3">
        <f t="shared" si="24"/>
        <v>50</v>
      </c>
      <c r="J25" s="2">
        <f t="shared" si="25"/>
        <v>185.76585771604937</v>
      </c>
      <c r="K25" s="2">
        <f t="shared" si="26"/>
        <v>2875.14</v>
      </c>
      <c r="L25" s="2">
        <f t="shared" si="27"/>
        <v>905.32</v>
      </c>
      <c r="M25" s="17">
        <f>K25+L25</f>
        <v>3780.46</v>
      </c>
      <c r="N25" s="18"/>
      <c r="O25" s="23">
        <v>23902.47</v>
      </c>
      <c r="P25" s="23">
        <v>1159.3399999999999</v>
      </c>
      <c r="Q25" s="23">
        <v>2842.16</v>
      </c>
    </row>
    <row r="26" spans="1:19" x14ac:dyDescent="0.2">
      <c r="A26" s="26" t="s">
        <v>20</v>
      </c>
      <c r="B26" s="16">
        <f t="shared" si="20"/>
        <v>2240.84</v>
      </c>
      <c r="C26" s="16">
        <f t="shared" si="29"/>
        <v>108.64999999999999</v>
      </c>
      <c r="D26" s="16">
        <f t="shared" si="21"/>
        <v>195.79</v>
      </c>
      <c r="E26" s="16">
        <f t="shared" si="22"/>
        <v>279.95</v>
      </c>
      <c r="F26" s="16">
        <f>SUM(B26:E26)</f>
        <v>2825.23</v>
      </c>
      <c r="G26" s="3">
        <f>ROUND(((3099)*1.15)/12,2)</f>
        <v>296.99</v>
      </c>
      <c r="H26" s="16"/>
      <c r="I26" s="16"/>
      <c r="J26" s="2">
        <f t="shared" si="25"/>
        <v>215.66445555555558</v>
      </c>
      <c r="K26" s="2">
        <f t="shared" si="26"/>
        <v>3337.88</v>
      </c>
      <c r="L26" s="2">
        <f t="shared" si="27"/>
        <v>1051.03</v>
      </c>
      <c r="M26" s="17">
        <f>K26+L26</f>
        <v>4388.91</v>
      </c>
      <c r="N26" s="18"/>
      <c r="O26" s="23">
        <v>26890.05</v>
      </c>
      <c r="P26" s="23">
        <v>1303.8</v>
      </c>
      <c r="Q26" s="23">
        <v>3359.4</v>
      </c>
    </row>
    <row r="27" spans="1:19" ht="15" x14ac:dyDescent="0.2">
      <c r="A27" s="9"/>
      <c r="B27" s="6"/>
      <c r="C27" s="6"/>
      <c r="D27" s="6"/>
      <c r="E27" s="6"/>
      <c r="F27" s="6"/>
      <c r="G27" s="6"/>
      <c r="H27" s="6"/>
      <c r="I27" s="6"/>
      <c r="J27" s="6"/>
      <c r="K27" s="8"/>
      <c r="L27" s="8"/>
      <c r="M27" s="29"/>
      <c r="N27" s="10"/>
      <c r="O27" s="8"/>
      <c r="P27" s="8"/>
      <c r="Q27" s="8"/>
    </row>
    <row r="28" spans="1:19" ht="15" x14ac:dyDescent="0.2">
      <c r="A28" s="9"/>
      <c r="B28" s="6"/>
      <c r="C28" s="6"/>
      <c r="D28" s="6"/>
      <c r="E28" s="6"/>
      <c r="F28" s="6"/>
      <c r="G28" s="6"/>
      <c r="H28" s="6"/>
      <c r="I28" s="6"/>
      <c r="J28" s="6"/>
      <c r="K28" s="8"/>
      <c r="L28" s="8"/>
      <c r="M28" s="29"/>
      <c r="N28" s="10"/>
      <c r="O28" s="8"/>
      <c r="P28" s="8"/>
      <c r="Q28" s="8"/>
    </row>
    <row r="30" spans="1:19" ht="15" x14ac:dyDescent="0.2">
      <c r="A30" s="27" t="s">
        <v>4</v>
      </c>
      <c r="B30" s="1" t="s">
        <v>5</v>
      </c>
      <c r="P30" s="21"/>
      <c r="Q30" s="21"/>
      <c r="R30" s="22"/>
      <c r="S30" s="19"/>
    </row>
  </sheetData>
  <mergeCells count="1">
    <mergeCell ref="A1:J1"/>
  </mergeCells>
  <printOptions horizontalCentered="1"/>
  <pageMargins left="0" right="0" top="0.98425196850393704" bottom="0.98425196850393704" header="0.51181102362204722" footer="0.51181102362204722"/>
  <pageSetup paperSize="9" scale="64" orientation="landscape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D884E-9768-48C4-B5E1-AE8521B44287}">
  <sheetPr>
    <pageSetUpPr fitToPage="1"/>
  </sheetPr>
  <dimension ref="A1:S30"/>
  <sheetViews>
    <sheetView zoomScaleNormal="100" zoomScaleSheetLayoutView="100" workbookViewId="0">
      <selection activeCell="M3" sqref="M3"/>
    </sheetView>
  </sheetViews>
  <sheetFormatPr defaultColWidth="12.28515625" defaultRowHeight="12.75" x14ac:dyDescent="0.2"/>
  <cols>
    <col min="1" max="1" width="23" style="1" customWidth="1"/>
    <col min="2" max="2" width="13.7109375" style="1" customWidth="1"/>
    <col min="3" max="3" width="11" style="1" customWidth="1"/>
    <col min="4" max="4" width="9.7109375" style="1" bestFit="1" customWidth="1"/>
    <col min="5" max="5" width="14.28515625" style="1" customWidth="1"/>
    <col min="6" max="8" width="14.85546875" style="1" customWidth="1"/>
    <col min="9" max="9" width="16" style="1" customWidth="1"/>
    <col min="10" max="10" width="10.140625" style="1" customWidth="1"/>
    <col min="11" max="11" width="11.28515625" style="1" bestFit="1" customWidth="1"/>
    <col min="12" max="12" width="12.28515625" style="1" customWidth="1"/>
    <col min="13" max="13" width="14.42578125" style="1" customWidth="1"/>
    <col min="14" max="14" width="13.28515625" style="1" customWidth="1"/>
    <col min="15" max="15" width="13.85546875" style="1" customWidth="1"/>
    <col min="16" max="16" width="11.42578125" style="1" customWidth="1"/>
    <col min="17" max="17" width="11.28515625" style="1" bestFit="1" customWidth="1"/>
    <col min="18" max="18" width="16.42578125" style="1" bestFit="1" customWidth="1"/>
    <col min="19" max="16384" width="12.28515625" style="1"/>
  </cols>
  <sheetData>
    <row r="1" spans="1:17" ht="14.25" x14ac:dyDescent="0.2">
      <c r="A1" s="32" t="s">
        <v>21</v>
      </c>
      <c r="B1" s="32"/>
      <c r="C1" s="32"/>
      <c r="D1" s="32"/>
      <c r="E1" s="32"/>
      <c r="F1" s="32"/>
      <c r="G1" s="32"/>
      <c r="H1" s="32"/>
      <c r="I1" s="32"/>
      <c r="J1" s="32"/>
      <c r="M1" s="7"/>
      <c r="N1" s="7"/>
      <c r="O1" s="8"/>
    </row>
    <row r="2" spans="1:17" ht="15" x14ac:dyDescent="0.2">
      <c r="A2" s="9"/>
      <c r="B2" s="6" t="s">
        <v>1</v>
      </c>
      <c r="C2" s="6"/>
      <c r="D2" s="6"/>
      <c r="E2" s="6"/>
      <c r="F2" s="6"/>
      <c r="G2" s="6"/>
      <c r="H2" s="6"/>
      <c r="I2" s="6"/>
      <c r="J2" s="6"/>
      <c r="K2" s="8"/>
      <c r="L2" s="8"/>
      <c r="M2" s="28">
        <v>0.83330000000000004</v>
      </c>
      <c r="N2" s="10"/>
      <c r="O2" s="8"/>
      <c r="P2" s="8"/>
      <c r="Q2" s="8"/>
    </row>
    <row r="3" spans="1:17" ht="15" x14ac:dyDescent="0.2">
      <c r="A3" s="9"/>
      <c r="B3" s="6"/>
      <c r="C3" s="6"/>
      <c r="D3" s="6"/>
      <c r="E3" s="6"/>
      <c r="F3" s="6"/>
      <c r="G3" s="6"/>
      <c r="H3" s="6"/>
      <c r="I3" s="6"/>
      <c r="J3" s="6"/>
      <c r="K3" s="8"/>
      <c r="L3" s="8"/>
      <c r="M3" s="29"/>
      <c r="N3" s="10"/>
      <c r="O3" s="8"/>
      <c r="P3" s="8"/>
      <c r="Q3" s="8"/>
    </row>
    <row r="4" spans="1:17" ht="15" x14ac:dyDescent="0.2">
      <c r="B4" s="8"/>
      <c r="C4" s="8"/>
      <c r="D4" s="8"/>
      <c r="F4" s="11"/>
      <c r="G4" s="11"/>
      <c r="H4" s="11"/>
      <c r="I4" s="11"/>
      <c r="J4" s="8"/>
      <c r="K4" s="8"/>
      <c r="M4" s="25" t="s">
        <v>22</v>
      </c>
      <c r="N4" s="12"/>
      <c r="O4" s="7"/>
      <c r="P4" s="8"/>
      <c r="Q4" s="8"/>
    </row>
    <row r="5" spans="1:17" ht="67.5" x14ac:dyDescent="0.2">
      <c r="A5" s="13" t="s">
        <v>11</v>
      </c>
      <c r="B5" s="14" t="s">
        <v>3</v>
      </c>
      <c r="C5" s="24" t="s">
        <v>23</v>
      </c>
      <c r="D5" s="13" t="s">
        <v>7</v>
      </c>
      <c r="E5" s="14" t="s">
        <v>2</v>
      </c>
      <c r="F5" s="13" t="s">
        <v>0</v>
      </c>
      <c r="G5" s="4" t="s">
        <v>15</v>
      </c>
      <c r="H5" s="4" t="s">
        <v>8</v>
      </c>
      <c r="I5" s="4" t="s">
        <v>16</v>
      </c>
      <c r="J5" s="14" t="s">
        <v>12</v>
      </c>
      <c r="K5" s="14" t="s">
        <v>10</v>
      </c>
      <c r="L5" s="14" t="s">
        <v>13</v>
      </c>
      <c r="M5" s="14" t="s">
        <v>9</v>
      </c>
      <c r="N5" s="20"/>
      <c r="O5" s="15" t="s">
        <v>6</v>
      </c>
      <c r="P5" s="30" t="s">
        <v>23</v>
      </c>
      <c r="Q5" s="15" t="s">
        <v>14</v>
      </c>
    </row>
    <row r="6" spans="1:17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7" x14ac:dyDescent="0.2">
      <c r="A7" s="26" t="s">
        <v>17</v>
      </c>
      <c r="B7" s="16">
        <f t="shared" ref="B7:B10" si="0">ROUND(O7/12*$M$2,2)</f>
        <v>1386.57</v>
      </c>
      <c r="C7" s="16">
        <f t="shared" ref="C7:C10" si="1">ROUND((P7*7.7)/12*$M$2,2)</f>
        <v>53.38</v>
      </c>
      <c r="D7" s="16">
        <f t="shared" ref="D7:D10" si="2">ROUND((B7+C7)/12,2)</f>
        <v>120</v>
      </c>
      <c r="E7" s="16">
        <f t="shared" ref="E7:E10" si="3">ROUND(Q7/12*$M$2,2)</f>
        <v>107.37</v>
      </c>
      <c r="F7" s="16">
        <f>SUM(B7:E7)</f>
        <v>1667.3200000000002</v>
      </c>
      <c r="G7" s="16"/>
      <c r="H7" s="3">
        <f t="shared" ref="H7:H9" si="4">ROUND(140*$M$2,2)</f>
        <v>116.66</v>
      </c>
      <c r="I7" s="3">
        <f t="shared" ref="I7:I9" si="5">ROUND(600/12,2)</f>
        <v>50</v>
      </c>
      <c r="J7" s="2">
        <f t="shared" ref="J7:J10" si="6">(F7+G7+H7+I7)/13.5-(F7+G7+H7+I7)*0.5%</f>
        <v>126.6804703703704</v>
      </c>
      <c r="K7" s="2">
        <f t="shared" ref="K7:K10" si="7">ROUND(F7+G7+J7+H7+I7,2)</f>
        <v>1960.66</v>
      </c>
      <c r="L7" s="2">
        <f t="shared" ref="L7:L10" si="8">ROUND((F7+G7+H7+I7)*33.663%,2)</f>
        <v>617.37</v>
      </c>
      <c r="M7" s="17">
        <f t="shared" ref="M7" si="9">K7+L7</f>
        <v>2578.0300000000002</v>
      </c>
      <c r="N7" s="18"/>
      <c r="O7" s="23">
        <v>19967.47</v>
      </c>
      <c r="P7" s="23">
        <v>99.84</v>
      </c>
      <c r="Q7" s="23">
        <v>1546.16</v>
      </c>
    </row>
    <row r="8" spans="1:17" x14ac:dyDescent="0.2">
      <c r="A8" s="26" t="s">
        <v>18</v>
      </c>
      <c r="B8" s="16">
        <f t="shared" si="0"/>
        <v>1454.98</v>
      </c>
      <c r="C8" s="16">
        <f t="shared" si="1"/>
        <v>56.02</v>
      </c>
      <c r="D8" s="16">
        <f t="shared" si="2"/>
        <v>125.92</v>
      </c>
      <c r="E8" s="16">
        <f t="shared" si="3"/>
        <v>142.63</v>
      </c>
      <c r="F8" s="16">
        <f>SUM(B8:E8)</f>
        <v>1779.5500000000002</v>
      </c>
      <c r="G8" s="16"/>
      <c r="H8" s="3">
        <f t="shared" si="4"/>
        <v>116.66</v>
      </c>
      <c r="I8" s="3">
        <f t="shared" si="5"/>
        <v>50</v>
      </c>
      <c r="J8" s="2">
        <f t="shared" si="6"/>
        <v>134.43265370370372</v>
      </c>
      <c r="K8" s="2">
        <f t="shared" si="7"/>
        <v>2080.64</v>
      </c>
      <c r="L8" s="2">
        <f t="shared" si="8"/>
        <v>655.15</v>
      </c>
      <c r="M8" s="17">
        <f>K8+L8</f>
        <v>2735.79</v>
      </c>
      <c r="N8" s="18"/>
      <c r="O8" s="23">
        <v>20952.599999999999</v>
      </c>
      <c r="P8" s="23">
        <f>8.73*12</f>
        <v>104.76</v>
      </c>
      <c r="Q8" s="23">
        <v>2053.9700000000003</v>
      </c>
    </row>
    <row r="9" spans="1:17" x14ac:dyDescent="0.2">
      <c r="A9" s="26" t="s">
        <v>19</v>
      </c>
      <c r="B9" s="16">
        <f t="shared" si="0"/>
        <v>1659.83</v>
      </c>
      <c r="C9" s="16">
        <f t="shared" si="1"/>
        <v>63.91</v>
      </c>
      <c r="D9" s="16">
        <f t="shared" si="2"/>
        <v>143.65</v>
      </c>
      <c r="E9" s="16">
        <f t="shared" si="3"/>
        <v>197.36</v>
      </c>
      <c r="F9" s="16">
        <f>SUM(B9:E9)</f>
        <v>2064.75</v>
      </c>
      <c r="G9" s="16"/>
      <c r="H9" s="3">
        <f t="shared" si="4"/>
        <v>116.66</v>
      </c>
      <c r="I9" s="3">
        <f t="shared" si="5"/>
        <v>50</v>
      </c>
      <c r="J9" s="2">
        <f t="shared" si="6"/>
        <v>154.13257962962962</v>
      </c>
      <c r="K9" s="2">
        <f t="shared" si="7"/>
        <v>2385.54</v>
      </c>
      <c r="L9" s="2">
        <f t="shared" si="8"/>
        <v>751.16</v>
      </c>
      <c r="M9" s="17">
        <f>K9+L9</f>
        <v>3136.7</v>
      </c>
      <c r="N9" s="18"/>
      <c r="O9" s="23">
        <v>23902.47</v>
      </c>
      <c r="P9" s="23">
        <v>119.52</v>
      </c>
      <c r="Q9" s="23">
        <v>2842.16</v>
      </c>
    </row>
    <row r="10" spans="1:17" x14ac:dyDescent="0.2">
      <c r="A10" s="26" t="s">
        <v>20</v>
      </c>
      <c r="B10" s="16">
        <f t="shared" si="0"/>
        <v>1867.29</v>
      </c>
      <c r="C10" s="16">
        <f t="shared" si="1"/>
        <v>71.86</v>
      </c>
      <c r="D10" s="16">
        <f t="shared" si="2"/>
        <v>161.6</v>
      </c>
      <c r="E10" s="16">
        <f t="shared" si="3"/>
        <v>233.28</v>
      </c>
      <c r="F10" s="16">
        <f>SUM(B10:E10)</f>
        <v>2334.0300000000002</v>
      </c>
      <c r="G10" s="3">
        <f>ROUND(((3099)*1.15)/12,2)</f>
        <v>296.99</v>
      </c>
      <c r="H10" s="16"/>
      <c r="I10" s="16"/>
      <c r="J10" s="2">
        <f t="shared" si="6"/>
        <v>181.73527037037039</v>
      </c>
      <c r="K10" s="2">
        <f t="shared" si="7"/>
        <v>2812.76</v>
      </c>
      <c r="L10" s="2">
        <f t="shared" si="8"/>
        <v>885.68</v>
      </c>
      <c r="M10" s="17">
        <f>K10+L10</f>
        <v>3698.44</v>
      </c>
      <c r="N10" s="18"/>
      <c r="O10" s="23">
        <v>26890.05</v>
      </c>
      <c r="P10" s="23">
        <v>134.4</v>
      </c>
      <c r="Q10" s="23">
        <v>3359.4</v>
      </c>
    </row>
    <row r="11" spans="1:17" ht="15" x14ac:dyDescent="0.2">
      <c r="A11" s="9"/>
      <c r="B11" s="6"/>
      <c r="C11" s="6"/>
      <c r="D11" s="6"/>
      <c r="E11" s="6"/>
      <c r="F11" s="6"/>
      <c r="G11" s="6"/>
      <c r="H11" s="6"/>
      <c r="I11" s="6"/>
      <c r="J11" s="6"/>
      <c r="K11" s="8"/>
      <c r="L11" s="8"/>
      <c r="M11" s="29"/>
      <c r="N11" s="10"/>
      <c r="O11" s="8"/>
      <c r="P11" s="8"/>
      <c r="Q11" s="8"/>
    </row>
    <row r="12" spans="1:17" ht="15" x14ac:dyDescent="0.2">
      <c r="B12" s="8"/>
      <c r="C12" s="8"/>
      <c r="D12" s="8"/>
      <c r="F12" s="11"/>
      <c r="G12" s="11"/>
      <c r="H12" s="11"/>
      <c r="I12" s="11"/>
      <c r="J12" s="8"/>
      <c r="K12" s="8"/>
      <c r="M12" s="25" t="s">
        <v>24</v>
      </c>
      <c r="N12" s="12"/>
      <c r="O12" s="7"/>
      <c r="P12" s="8"/>
      <c r="Q12" s="8"/>
    </row>
    <row r="13" spans="1:17" ht="67.5" x14ac:dyDescent="0.2">
      <c r="A13" s="13" t="s">
        <v>11</v>
      </c>
      <c r="B13" s="14" t="s">
        <v>3</v>
      </c>
      <c r="C13" s="24" t="s">
        <v>29</v>
      </c>
      <c r="D13" s="13" t="s">
        <v>7</v>
      </c>
      <c r="E13" s="14" t="s">
        <v>2</v>
      </c>
      <c r="F13" s="13" t="s">
        <v>0</v>
      </c>
      <c r="G13" s="4" t="s">
        <v>15</v>
      </c>
      <c r="H13" s="4" t="s">
        <v>8</v>
      </c>
      <c r="I13" s="4" t="s">
        <v>16</v>
      </c>
      <c r="J13" s="14" t="s">
        <v>12</v>
      </c>
      <c r="K13" s="14" t="s">
        <v>10</v>
      </c>
      <c r="L13" s="14" t="s">
        <v>13</v>
      </c>
      <c r="M13" s="14" t="s">
        <v>9</v>
      </c>
      <c r="N13" s="20"/>
      <c r="O13" s="15" t="s">
        <v>6</v>
      </c>
      <c r="P13" s="31" t="s">
        <v>25</v>
      </c>
      <c r="Q13" s="15" t="s">
        <v>14</v>
      </c>
    </row>
    <row r="14" spans="1:17" x14ac:dyDescent="0.2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7" x14ac:dyDescent="0.2">
      <c r="A15" s="26" t="s">
        <v>17</v>
      </c>
      <c r="B15" s="16">
        <f t="shared" ref="B15:B18" si="10">ROUND(O15/12*$M$2,2)</f>
        <v>1386.57</v>
      </c>
      <c r="C15" s="16">
        <f>+P15/12*$M$2</f>
        <v>61.701004083333338</v>
      </c>
      <c r="D15" s="16">
        <f t="shared" ref="D15:D18" si="11">ROUND((B15+C15)/12,2)</f>
        <v>120.69</v>
      </c>
      <c r="E15" s="16">
        <f t="shared" ref="E15:E18" si="12">ROUND(Q15/12*$M$2,2)</f>
        <v>107.37</v>
      </c>
      <c r="F15" s="16">
        <f>SUM(B15:E15)</f>
        <v>1676.3310040833335</v>
      </c>
      <c r="G15" s="16"/>
      <c r="H15" s="3">
        <f t="shared" ref="H15:H17" si="13">ROUND(140*$M$2,2)</f>
        <v>116.66</v>
      </c>
      <c r="I15" s="3">
        <f t="shared" ref="I15:I17" si="14">ROUND(600/12,2)</f>
        <v>50</v>
      </c>
      <c r="J15" s="2">
        <f t="shared" ref="J15:J18" si="15">(F15+G15+H15+I15)/13.5-(F15+G15+H15+I15)*0.5%</f>
        <v>127.30289713390432</v>
      </c>
      <c r="K15" s="2">
        <f t="shared" ref="K15:K18" si="16">ROUND(F15+G15+J15+H15+I15,2)</f>
        <v>1970.29</v>
      </c>
      <c r="L15" s="2">
        <f t="shared" ref="L15:L18" si="17">ROUND((F15+G15+H15+I15)*33.663%,2)</f>
        <v>620.41</v>
      </c>
      <c r="M15" s="17">
        <f t="shared" ref="M15" si="18">K15+L15</f>
        <v>2590.6999999999998</v>
      </c>
      <c r="N15" s="18"/>
      <c r="O15" s="23">
        <v>19967.47</v>
      </c>
      <c r="P15" s="23">
        <v>888.53</v>
      </c>
      <c r="Q15" s="23">
        <v>1546.16</v>
      </c>
    </row>
    <row r="16" spans="1:17" x14ac:dyDescent="0.2">
      <c r="A16" s="26" t="s">
        <v>18</v>
      </c>
      <c r="B16" s="16">
        <f t="shared" si="10"/>
        <v>1454.98</v>
      </c>
      <c r="C16" s="16">
        <f t="shared" ref="C16:C18" si="19">+P16/12*$M$2</f>
        <v>64.748104416666678</v>
      </c>
      <c r="D16" s="16">
        <f t="shared" si="11"/>
        <v>126.64</v>
      </c>
      <c r="E16" s="16">
        <f t="shared" si="12"/>
        <v>142.63</v>
      </c>
      <c r="F16" s="16">
        <f>SUM(B16:E16)</f>
        <v>1788.9981044166666</v>
      </c>
      <c r="G16" s="16"/>
      <c r="H16" s="3">
        <f t="shared" si="13"/>
        <v>116.66</v>
      </c>
      <c r="I16" s="3">
        <f t="shared" si="14"/>
        <v>50</v>
      </c>
      <c r="J16" s="2">
        <f t="shared" si="15"/>
        <v>135.08527276804014</v>
      </c>
      <c r="K16" s="2">
        <f t="shared" si="16"/>
        <v>2090.7399999999998</v>
      </c>
      <c r="L16" s="2">
        <f t="shared" si="17"/>
        <v>658.33</v>
      </c>
      <c r="M16" s="17">
        <f>K16+L16</f>
        <v>2749.0699999999997</v>
      </c>
      <c r="N16" s="18"/>
      <c r="O16" s="23">
        <v>20952.599999999999</v>
      </c>
      <c r="P16" s="23">
        <v>932.41</v>
      </c>
      <c r="Q16" s="23">
        <v>2053.9700000000003</v>
      </c>
    </row>
    <row r="17" spans="1:19" x14ac:dyDescent="0.2">
      <c r="A17" s="26" t="s">
        <v>19</v>
      </c>
      <c r="B17" s="16">
        <f t="shared" si="10"/>
        <v>1659.83</v>
      </c>
      <c r="C17" s="16">
        <f t="shared" si="19"/>
        <v>73.865100833333329</v>
      </c>
      <c r="D17" s="16">
        <f t="shared" si="11"/>
        <v>144.47</v>
      </c>
      <c r="E17" s="16">
        <f t="shared" si="12"/>
        <v>197.36</v>
      </c>
      <c r="F17" s="16">
        <f>SUM(B17:E17)</f>
        <v>2075.5251008333335</v>
      </c>
      <c r="G17" s="16"/>
      <c r="H17" s="3">
        <f t="shared" si="13"/>
        <v>116.66</v>
      </c>
      <c r="I17" s="3">
        <f t="shared" si="14"/>
        <v>50</v>
      </c>
      <c r="J17" s="2">
        <f t="shared" si="15"/>
        <v>154.87685974274689</v>
      </c>
      <c r="K17" s="2">
        <f t="shared" si="16"/>
        <v>2397.06</v>
      </c>
      <c r="L17" s="2">
        <f t="shared" si="17"/>
        <v>754.79</v>
      </c>
      <c r="M17" s="17">
        <f>K17+L17</f>
        <v>3151.85</v>
      </c>
      <c r="N17" s="18"/>
      <c r="O17" s="23">
        <v>23902.47</v>
      </c>
      <c r="P17" s="23">
        <v>1063.7</v>
      </c>
      <c r="Q17" s="23">
        <v>2842.16</v>
      </c>
    </row>
    <row r="18" spans="1:19" x14ac:dyDescent="0.2">
      <c r="A18" s="26" t="s">
        <v>20</v>
      </c>
      <c r="B18" s="16">
        <f t="shared" si="10"/>
        <v>1867.29</v>
      </c>
      <c r="C18" s="16">
        <f t="shared" si="19"/>
        <v>83.071677000000008</v>
      </c>
      <c r="D18" s="16">
        <f t="shared" si="11"/>
        <v>162.53</v>
      </c>
      <c r="E18" s="16">
        <f t="shared" si="12"/>
        <v>233.28</v>
      </c>
      <c r="F18" s="16">
        <f>SUM(B18:E18)</f>
        <v>2346.1716770000003</v>
      </c>
      <c r="G18" s="3">
        <f>ROUND(((3099)*1.15)/12,2)</f>
        <v>296.99</v>
      </c>
      <c r="H18" s="16"/>
      <c r="I18" s="16"/>
      <c r="J18" s="2">
        <f t="shared" si="15"/>
        <v>182.57394546685185</v>
      </c>
      <c r="K18" s="2">
        <f t="shared" si="16"/>
        <v>2825.74</v>
      </c>
      <c r="L18" s="2">
        <f t="shared" si="17"/>
        <v>889.77</v>
      </c>
      <c r="M18" s="17">
        <f>K18+L18</f>
        <v>3715.5099999999998</v>
      </c>
      <c r="N18" s="18"/>
      <c r="O18" s="23">
        <v>26890.05</v>
      </c>
      <c r="P18" s="23">
        <v>1196.28</v>
      </c>
      <c r="Q18" s="23">
        <v>3359.4</v>
      </c>
    </row>
    <row r="19" spans="1:19" ht="15" x14ac:dyDescent="0.2">
      <c r="A19" s="9"/>
      <c r="B19" s="6"/>
      <c r="C19" s="6"/>
      <c r="D19" s="6"/>
      <c r="E19" s="6"/>
      <c r="F19" s="6"/>
      <c r="G19" s="6"/>
      <c r="H19" s="6"/>
      <c r="I19" s="6"/>
      <c r="J19" s="6"/>
      <c r="K19" s="8"/>
      <c r="L19" s="8"/>
      <c r="M19" s="29"/>
      <c r="N19" s="10"/>
      <c r="O19" s="8"/>
      <c r="P19" s="8"/>
      <c r="Q19" s="8"/>
    </row>
    <row r="20" spans="1:19" ht="15" x14ac:dyDescent="0.2">
      <c r="B20" s="8"/>
      <c r="C20" s="8"/>
      <c r="D20" s="8"/>
      <c r="F20" s="11"/>
      <c r="G20" s="11"/>
      <c r="H20" s="11"/>
      <c r="I20" s="11"/>
      <c r="J20" s="8"/>
      <c r="K20" s="8"/>
      <c r="M20" s="25" t="s">
        <v>26</v>
      </c>
      <c r="N20" s="12"/>
      <c r="O20" s="7"/>
      <c r="P20" s="8"/>
      <c r="Q20" s="8"/>
    </row>
    <row r="21" spans="1:19" ht="67.5" x14ac:dyDescent="0.2">
      <c r="A21" s="13" t="s">
        <v>11</v>
      </c>
      <c r="B21" s="14" t="s">
        <v>3</v>
      </c>
      <c r="C21" s="24" t="s">
        <v>28</v>
      </c>
      <c r="D21" s="13" t="s">
        <v>7</v>
      </c>
      <c r="E21" s="14" t="s">
        <v>2</v>
      </c>
      <c r="F21" s="13" t="s">
        <v>0</v>
      </c>
      <c r="G21" s="4" t="s">
        <v>15</v>
      </c>
      <c r="H21" s="4" t="s">
        <v>8</v>
      </c>
      <c r="I21" s="4" t="s">
        <v>16</v>
      </c>
      <c r="J21" s="14" t="s">
        <v>12</v>
      </c>
      <c r="K21" s="14" t="s">
        <v>10</v>
      </c>
      <c r="L21" s="14" t="s">
        <v>13</v>
      </c>
      <c r="M21" s="14" t="s">
        <v>9</v>
      </c>
      <c r="N21" s="20"/>
      <c r="O21" s="15" t="s">
        <v>6</v>
      </c>
      <c r="P21" s="31" t="s">
        <v>27</v>
      </c>
      <c r="Q21" s="15" t="s">
        <v>14</v>
      </c>
    </row>
    <row r="22" spans="1:19" x14ac:dyDescent="0.2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9" x14ac:dyDescent="0.2">
      <c r="A23" s="26" t="s">
        <v>17</v>
      </c>
      <c r="B23" s="16">
        <f t="shared" ref="B23:B26" si="20">ROUND(O23/12*$M$2,2)</f>
        <v>1386.57</v>
      </c>
      <c r="C23" s="16">
        <f>+P23/12*$M$2</f>
        <v>67.250782083333334</v>
      </c>
      <c r="D23" s="16">
        <f t="shared" ref="D23:D26" si="21">ROUND((B23+C23)/12,2)</f>
        <v>121.15</v>
      </c>
      <c r="E23" s="16">
        <f t="shared" ref="E23:E26" si="22">ROUND(Q23/12*$M$2,2)</f>
        <v>107.37</v>
      </c>
      <c r="F23" s="16">
        <f>SUM(B23:E23)</f>
        <v>1682.3407820833336</v>
      </c>
      <c r="G23" s="16"/>
      <c r="H23" s="3">
        <f t="shared" ref="H23:H25" si="23">ROUND(140*$M$2,2)</f>
        <v>116.66</v>
      </c>
      <c r="I23" s="3">
        <f t="shared" ref="I23:I25" si="24">ROUND(600/12,2)</f>
        <v>50</v>
      </c>
      <c r="J23" s="2">
        <f t="shared" ref="J23:J26" si="25">(F23+G23+H23+I23)/13.5-(F23+G23+H23+I23)*0.5%</f>
        <v>127.71801698464509</v>
      </c>
      <c r="K23" s="2">
        <f t="shared" ref="K23:K26" si="26">ROUND(F23+G23+J23+H23+I23,2)</f>
        <v>1976.72</v>
      </c>
      <c r="L23" s="2">
        <f t="shared" ref="L23:L26" si="27">ROUND((F23+G23+H23+I23)*33.663%,2)</f>
        <v>622.42999999999995</v>
      </c>
      <c r="M23" s="17">
        <f t="shared" ref="M23" si="28">K23+L23</f>
        <v>2599.15</v>
      </c>
      <c r="N23" s="18"/>
      <c r="O23" s="23">
        <v>19967.47</v>
      </c>
      <c r="P23" s="23">
        <v>968.45</v>
      </c>
      <c r="Q23" s="23">
        <v>1546.16</v>
      </c>
    </row>
    <row r="24" spans="1:19" x14ac:dyDescent="0.2">
      <c r="A24" s="26" t="s">
        <v>18</v>
      </c>
      <c r="B24" s="16">
        <f t="shared" si="20"/>
        <v>1454.98</v>
      </c>
      <c r="C24" s="16">
        <f t="shared" ref="C24:C26" si="29">+P24/12*$M$2</f>
        <v>70.564538416666664</v>
      </c>
      <c r="D24" s="16">
        <f t="shared" si="21"/>
        <v>127.13</v>
      </c>
      <c r="E24" s="16">
        <f t="shared" si="22"/>
        <v>142.63</v>
      </c>
      <c r="F24" s="16">
        <f>SUM(B24:E24)</f>
        <v>1795.3045384166667</v>
      </c>
      <c r="G24" s="16"/>
      <c r="H24" s="3">
        <f t="shared" si="23"/>
        <v>116.66</v>
      </c>
      <c r="I24" s="3">
        <f t="shared" si="24"/>
        <v>50</v>
      </c>
      <c r="J24" s="2">
        <f t="shared" si="25"/>
        <v>135.52088385729937</v>
      </c>
      <c r="K24" s="2">
        <f t="shared" si="26"/>
        <v>2097.4899999999998</v>
      </c>
      <c r="L24" s="2">
        <f t="shared" si="27"/>
        <v>660.46</v>
      </c>
      <c r="M24" s="17">
        <f>K24+L24</f>
        <v>2757.95</v>
      </c>
      <c r="N24" s="18"/>
      <c r="O24" s="23">
        <v>20952.599999999999</v>
      </c>
      <c r="P24" s="23">
        <v>1016.17</v>
      </c>
      <c r="Q24" s="23">
        <v>2053.9700000000003</v>
      </c>
    </row>
    <row r="25" spans="1:19" x14ac:dyDescent="0.2">
      <c r="A25" s="26" t="s">
        <v>19</v>
      </c>
      <c r="B25" s="16">
        <f t="shared" si="20"/>
        <v>1659.83</v>
      </c>
      <c r="C25" s="16">
        <f t="shared" si="29"/>
        <v>80.506501833333331</v>
      </c>
      <c r="D25" s="16">
        <f t="shared" si="21"/>
        <v>145.03</v>
      </c>
      <c r="E25" s="16">
        <f t="shared" si="22"/>
        <v>197.36</v>
      </c>
      <c r="F25" s="16">
        <f>SUM(B25:E25)</f>
        <v>2082.7265018333333</v>
      </c>
      <c r="G25" s="16"/>
      <c r="H25" s="3">
        <f t="shared" si="23"/>
        <v>116.66</v>
      </c>
      <c r="I25" s="3">
        <f t="shared" si="24"/>
        <v>50</v>
      </c>
      <c r="J25" s="2">
        <f t="shared" si="25"/>
        <v>155.37428984885801</v>
      </c>
      <c r="K25" s="2">
        <f t="shared" si="26"/>
        <v>2404.7600000000002</v>
      </c>
      <c r="L25" s="2">
        <f t="shared" si="27"/>
        <v>757.21</v>
      </c>
      <c r="M25" s="17">
        <f>K25+L25</f>
        <v>3161.9700000000003</v>
      </c>
      <c r="N25" s="18"/>
      <c r="O25" s="23">
        <v>23902.47</v>
      </c>
      <c r="P25" s="23">
        <v>1159.3399999999999</v>
      </c>
      <c r="Q25" s="23">
        <v>2842.16</v>
      </c>
    </row>
    <row r="26" spans="1:19" x14ac:dyDescent="0.2">
      <c r="A26" s="26" t="s">
        <v>20</v>
      </c>
      <c r="B26" s="16">
        <f t="shared" si="20"/>
        <v>1867.29</v>
      </c>
      <c r="C26" s="16">
        <f t="shared" si="29"/>
        <v>90.538044999999997</v>
      </c>
      <c r="D26" s="16">
        <f t="shared" si="21"/>
        <v>163.15</v>
      </c>
      <c r="E26" s="16">
        <f t="shared" si="22"/>
        <v>233.28</v>
      </c>
      <c r="F26" s="16">
        <f>SUM(B26:E26)</f>
        <v>2354.258045</v>
      </c>
      <c r="G26" s="3">
        <f>ROUND(((3099)*1.15)/12,2)</f>
        <v>296.99</v>
      </c>
      <c r="H26" s="16"/>
      <c r="I26" s="16"/>
      <c r="J26" s="2">
        <f t="shared" si="25"/>
        <v>183.13250384907408</v>
      </c>
      <c r="K26" s="2">
        <f t="shared" si="26"/>
        <v>2834.38</v>
      </c>
      <c r="L26" s="2">
        <f t="shared" si="27"/>
        <v>892.49</v>
      </c>
      <c r="M26" s="17">
        <f>K26+L26</f>
        <v>3726.87</v>
      </c>
      <c r="N26" s="18"/>
      <c r="O26" s="23">
        <v>26890.05</v>
      </c>
      <c r="P26" s="23">
        <v>1303.8</v>
      </c>
      <c r="Q26" s="23">
        <v>3359.4</v>
      </c>
    </row>
    <row r="27" spans="1:19" ht="15" x14ac:dyDescent="0.2">
      <c r="A27" s="9"/>
      <c r="B27" s="6"/>
      <c r="C27" s="6"/>
      <c r="D27" s="6"/>
      <c r="E27" s="6"/>
      <c r="F27" s="6"/>
      <c r="G27" s="6"/>
      <c r="H27" s="6"/>
      <c r="I27" s="6"/>
      <c r="J27" s="6"/>
      <c r="K27" s="8"/>
      <c r="L27" s="8"/>
      <c r="M27" s="29"/>
      <c r="N27" s="10"/>
      <c r="O27" s="8"/>
      <c r="P27" s="8"/>
      <c r="Q27" s="8"/>
    </row>
    <row r="28" spans="1:19" ht="15" x14ac:dyDescent="0.2">
      <c r="A28" s="9"/>
      <c r="B28" s="6"/>
      <c r="C28" s="6"/>
      <c r="D28" s="6"/>
      <c r="E28" s="6"/>
      <c r="F28" s="6"/>
      <c r="G28" s="6"/>
      <c r="H28" s="6"/>
      <c r="I28" s="6"/>
      <c r="J28" s="6"/>
      <c r="K28" s="8"/>
      <c r="L28" s="8"/>
      <c r="M28" s="29"/>
      <c r="N28" s="10"/>
      <c r="O28" s="8"/>
      <c r="P28" s="8"/>
      <c r="Q28" s="8"/>
    </row>
    <row r="30" spans="1:19" ht="15" x14ac:dyDescent="0.2">
      <c r="A30" s="27" t="s">
        <v>4</v>
      </c>
      <c r="B30" s="1" t="s">
        <v>5</v>
      </c>
      <c r="P30" s="21"/>
      <c r="Q30" s="21"/>
      <c r="R30" s="22"/>
      <c r="S30" s="19"/>
    </row>
  </sheetData>
  <mergeCells count="1">
    <mergeCell ref="A1:J1"/>
  </mergeCells>
  <printOptions horizontalCentered="1"/>
  <pageMargins left="0" right="0" top="0.98425196850393704" bottom="0.98425196850393704" header="0.51181102362204722" footer="0.51181102362204722"/>
  <pageSetup paperSize="9" scale="64" orientation="landscape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92EF2-F8C2-4DE9-B0AC-1783086DC396}">
  <sheetPr>
    <pageSetUpPr fitToPage="1"/>
  </sheetPr>
  <dimension ref="A1:S30"/>
  <sheetViews>
    <sheetView zoomScaleNormal="100" zoomScaleSheetLayoutView="100" workbookViewId="0">
      <selection activeCell="M3" sqref="M3"/>
    </sheetView>
  </sheetViews>
  <sheetFormatPr defaultColWidth="12.28515625" defaultRowHeight="12.75" x14ac:dyDescent="0.2"/>
  <cols>
    <col min="1" max="1" width="23" style="1" customWidth="1"/>
    <col min="2" max="2" width="13.7109375" style="1" customWidth="1"/>
    <col min="3" max="3" width="11" style="1" customWidth="1"/>
    <col min="4" max="4" width="9.7109375" style="1" bestFit="1" customWidth="1"/>
    <col min="5" max="5" width="14.28515625" style="1" customWidth="1"/>
    <col min="6" max="8" width="14.85546875" style="1" customWidth="1"/>
    <col min="9" max="9" width="16" style="1" customWidth="1"/>
    <col min="10" max="10" width="10.140625" style="1" customWidth="1"/>
    <col min="11" max="11" width="11.28515625" style="1" bestFit="1" customWidth="1"/>
    <col min="12" max="12" width="12.28515625" style="1" customWidth="1"/>
    <col min="13" max="13" width="14.42578125" style="1" customWidth="1"/>
    <col min="14" max="14" width="13.28515625" style="1" customWidth="1"/>
    <col min="15" max="15" width="13.85546875" style="1" customWidth="1"/>
    <col min="16" max="16" width="11.42578125" style="1" customWidth="1"/>
    <col min="17" max="17" width="11.28515625" style="1" bestFit="1" customWidth="1"/>
    <col min="18" max="18" width="16.42578125" style="1" bestFit="1" customWidth="1"/>
    <col min="19" max="16384" width="12.28515625" style="1"/>
  </cols>
  <sheetData>
    <row r="1" spans="1:17" ht="14.25" x14ac:dyDescent="0.2">
      <c r="A1" s="32" t="s">
        <v>21</v>
      </c>
      <c r="B1" s="32"/>
      <c r="C1" s="32"/>
      <c r="D1" s="32"/>
      <c r="E1" s="32"/>
      <c r="F1" s="32"/>
      <c r="G1" s="32"/>
      <c r="H1" s="32"/>
      <c r="I1" s="32"/>
      <c r="J1" s="32"/>
      <c r="M1" s="7"/>
      <c r="N1" s="7"/>
      <c r="O1" s="8"/>
    </row>
    <row r="2" spans="1:17" ht="15" x14ac:dyDescent="0.2">
      <c r="A2" s="9"/>
      <c r="B2" s="6" t="s">
        <v>1</v>
      </c>
      <c r="C2" s="6"/>
      <c r="D2" s="6"/>
      <c r="E2" s="6"/>
      <c r="F2" s="6"/>
      <c r="G2" s="6"/>
      <c r="H2" s="6"/>
      <c r="I2" s="6"/>
      <c r="J2" s="6"/>
      <c r="K2" s="8"/>
      <c r="L2" s="8"/>
      <c r="M2" s="28">
        <v>0.66659999999999997</v>
      </c>
      <c r="N2" s="10"/>
      <c r="O2" s="8"/>
      <c r="P2" s="8"/>
      <c r="Q2" s="8"/>
    </row>
    <row r="3" spans="1:17" ht="15" x14ac:dyDescent="0.2">
      <c r="A3" s="9"/>
      <c r="B3" s="6"/>
      <c r="C3" s="6"/>
      <c r="D3" s="6"/>
      <c r="E3" s="6"/>
      <c r="F3" s="6"/>
      <c r="G3" s="6"/>
      <c r="H3" s="6"/>
      <c r="I3" s="6"/>
      <c r="J3" s="6"/>
      <c r="K3" s="8"/>
      <c r="L3" s="8"/>
      <c r="M3" s="29"/>
      <c r="N3" s="10"/>
      <c r="O3" s="8"/>
      <c r="P3" s="8"/>
      <c r="Q3" s="8"/>
    </row>
    <row r="4" spans="1:17" ht="15" x14ac:dyDescent="0.2">
      <c r="B4" s="8"/>
      <c r="C4" s="8"/>
      <c r="D4" s="8"/>
      <c r="F4" s="11"/>
      <c r="G4" s="11"/>
      <c r="H4" s="11"/>
      <c r="I4" s="11"/>
      <c r="J4" s="8"/>
      <c r="K4" s="8"/>
      <c r="M4" s="25" t="s">
        <v>22</v>
      </c>
      <c r="N4" s="12"/>
      <c r="O4" s="7"/>
      <c r="P4" s="8"/>
      <c r="Q4" s="8"/>
    </row>
    <row r="5" spans="1:17" ht="67.5" x14ac:dyDescent="0.2">
      <c r="A5" s="13" t="s">
        <v>11</v>
      </c>
      <c r="B5" s="14" t="s">
        <v>3</v>
      </c>
      <c r="C5" s="24" t="s">
        <v>23</v>
      </c>
      <c r="D5" s="13" t="s">
        <v>7</v>
      </c>
      <c r="E5" s="14" t="s">
        <v>2</v>
      </c>
      <c r="F5" s="13" t="s">
        <v>0</v>
      </c>
      <c r="G5" s="4" t="s">
        <v>15</v>
      </c>
      <c r="H5" s="4" t="s">
        <v>8</v>
      </c>
      <c r="I5" s="4" t="s">
        <v>16</v>
      </c>
      <c r="J5" s="14" t="s">
        <v>12</v>
      </c>
      <c r="K5" s="14" t="s">
        <v>10</v>
      </c>
      <c r="L5" s="14" t="s">
        <v>13</v>
      </c>
      <c r="M5" s="14" t="s">
        <v>9</v>
      </c>
      <c r="N5" s="20"/>
      <c r="O5" s="15" t="s">
        <v>6</v>
      </c>
      <c r="P5" s="30" t="s">
        <v>23</v>
      </c>
      <c r="Q5" s="15" t="s">
        <v>14</v>
      </c>
    </row>
    <row r="6" spans="1:17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7" x14ac:dyDescent="0.2">
      <c r="A7" s="26" t="s">
        <v>17</v>
      </c>
      <c r="B7" s="16">
        <f t="shared" ref="B7:B10" si="0">ROUND(O7/12*$M$2,2)</f>
        <v>1109.19</v>
      </c>
      <c r="C7" s="16">
        <f t="shared" ref="C7:C10" si="1">ROUND((P7*7.7)/12*$M$2,2)</f>
        <v>42.71</v>
      </c>
      <c r="D7" s="16">
        <f t="shared" ref="D7:D10" si="2">ROUND((B7+C7)/12,2)</f>
        <v>95.99</v>
      </c>
      <c r="E7" s="16">
        <f t="shared" ref="E7:E10" si="3">ROUND(Q7/12*$M$2,2)</f>
        <v>85.89</v>
      </c>
      <c r="F7" s="16">
        <f>SUM(B7:E7)</f>
        <v>1333.7800000000002</v>
      </c>
      <c r="G7" s="16"/>
      <c r="H7" s="3">
        <f t="shared" ref="H7:H9" si="4">ROUND(140*$M$2,2)</f>
        <v>93.32</v>
      </c>
      <c r="I7" s="3">
        <f t="shared" ref="I7:I9" si="5">ROUND(600/12,2)</f>
        <v>50</v>
      </c>
      <c r="J7" s="2">
        <f t="shared" ref="J7:J10" si="6">(F7+G7+H7+I7)/13.5-(F7+G7+H7+I7)*0.5%</f>
        <v>102.02931481481482</v>
      </c>
      <c r="K7" s="2">
        <f t="shared" ref="K7:K10" si="7">ROUND(F7+G7+J7+H7+I7,2)</f>
        <v>1579.13</v>
      </c>
      <c r="L7" s="2">
        <f t="shared" ref="L7:L10" si="8">ROUND((F7+G7+H7+I7)*33.663%,2)</f>
        <v>497.24</v>
      </c>
      <c r="M7" s="17">
        <f t="shared" ref="M7" si="9">K7+L7</f>
        <v>2076.37</v>
      </c>
      <c r="N7" s="18"/>
      <c r="O7" s="23">
        <v>19967.47</v>
      </c>
      <c r="P7" s="23">
        <v>99.84</v>
      </c>
      <c r="Q7" s="23">
        <v>1546.16</v>
      </c>
    </row>
    <row r="8" spans="1:17" x14ac:dyDescent="0.2">
      <c r="A8" s="26" t="s">
        <v>18</v>
      </c>
      <c r="B8" s="16">
        <f t="shared" si="0"/>
        <v>1163.92</v>
      </c>
      <c r="C8" s="16">
        <f t="shared" si="1"/>
        <v>44.81</v>
      </c>
      <c r="D8" s="16">
        <f t="shared" si="2"/>
        <v>100.73</v>
      </c>
      <c r="E8" s="16">
        <f t="shared" si="3"/>
        <v>114.1</v>
      </c>
      <c r="F8" s="16">
        <f>SUM(B8:E8)</f>
        <v>1423.56</v>
      </c>
      <c r="G8" s="16"/>
      <c r="H8" s="3">
        <f t="shared" si="4"/>
        <v>93.32</v>
      </c>
      <c r="I8" s="3">
        <f t="shared" si="5"/>
        <v>50</v>
      </c>
      <c r="J8" s="2">
        <f t="shared" si="6"/>
        <v>108.23078518518517</v>
      </c>
      <c r="K8" s="2">
        <f t="shared" si="7"/>
        <v>1675.11</v>
      </c>
      <c r="L8" s="2">
        <f t="shared" si="8"/>
        <v>527.46</v>
      </c>
      <c r="M8" s="17">
        <f>K8+L8</f>
        <v>2202.5699999999997</v>
      </c>
      <c r="N8" s="18"/>
      <c r="O8" s="23">
        <v>20952.599999999999</v>
      </c>
      <c r="P8" s="23">
        <f>8.73*12</f>
        <v>104.76</v>
      </c>
      <c r="Q8" s="23">
        <v>2053.9700000000003</v>
      </c>
    </row>
    <row r="9" spans="1:17" x14ac:dyDescent="0.2">
      <c r="A9" s="26" t="s">
        <v>19</v>
      </c>
      <c r="B9" s="16">
        <f t="shared" si="0"/>
        <v>1327.78</v>
      </c>
      <c r="C9" s="16">
        <f t="shared" si="1"/>
        <v>51.12</v>
      </c>
      <c r="D9" s="16">
        <f t="shared" si="2"/>
        <v>114.91</v>
      </c>
      <c r="E9" s="16">
        <f t="shared" si="3"/>
        <v>157.88</v>
      </c>
      <c r="F9" s="16">
        <f>SUM(B9:E9)</f>
        <v>1651.69</v>
      </c>
      <c r="G9" s="16"/>
      <c r="H9" s="3">
        <f t="shared" si="4"/>
        <v>93.32</v>
      </c>
      <c r="I9" s="3">
        <f t="shared" si="5"/>
        <v>50</v>
      </c>
      <c r="J9" s="2">
        <f t="shared" si="6"/>
        <v>123.98865370370372</v>
      </c>
      <c r="K9" s="2">
        <f t="shared" si="7"/>
        <v>1919</v>
      </c>
      <c r="L9" s="2">
        <f t="shared" si="8"/>
        <v>604.25</v>
      </c>
      <c r="M9" s="17">
        <f>K9+L9</f>
        <v>2523.25</v>
      </c>
      <c r="N9" s="18"/>
      <c r="O9" s="23">
        <v>23902.47</v>
      </c>
      <c r="P9" s="23">
        <v>119.52</v>
      </c>
      <c r="Q9" s="23">
        <v>2842.16</v>
      </c>
    </row>
    <row r="10" spans="1:17" x14ac:dyDescent="0.2">
      <c r="A10" s="26" t="s">
        <v>20</v>
      </c>
      <c r="B10" s="16">
        <f t="shared" si="0"/>
        <v>1493.74</v>
      </c>
      <c r="C10" s="16">
        <f t="shared" si="1"/>
        <v>57.49</v>
      </c>
      <c r="D10" s="16">
        <f t="shared" si="2"/>
        <v>129.27000000000001</v>
      </c>
      <c r="E10" s="16">
        <f t="shared" si="3"/>
        <v>186.61</v>
      </c>
      <c r="F10" s="16">
        <f>SUM(B10:E10)</f>
        <v>1867.1100000000001</v>
      </c>
      <c r="G10" s="3">
        <f>ROUND(((3099)*1.15)/12,2)</f>
        <v>296.99</v>
      </c>
      <c r="H10" s="16"/>
      <c r="I10" s="16"/>
      <c r="J10" s="2">
        <f t="shared" si="6"/>
        <v>149.48320370370371</v>
      </c>
      <c r="K10" s="2">
        <f t="shared" si="7"/>
        <v>2313.58</v>
      </c>
      <c r="L10" s="2">
        <f t="shared" si="8"/>
        <v>728.5</v>
      </c>
      <c r="M10" s="17">
        <f>K10+L10</f>
        <v>3042.08</v>
      </c>
      <c r="N10" s="18"/>
      <c r="O10" s="23">
        <v>26890.05</v>
      </c>
      <c r="P10" s="23">
        <v>134.4</v>
      </c>
      <c r="Q10" s="23">
        <v>3359.4</v>
      </c>
    </row>
    <row r="11" spans="1:17" ht="15" x14ac:dyDescent="0.2">
      <c r="A11" s="9"/>
      <c r="B11" s="6"/>
      <c r="C11" s="6"/>
      <c r="D11" s="6"/>
      <c r="E11" s="6"/>
      <c r="F11" s="6"/>
      <c r="G11" s="6"/>
      <c r="H11" s="6"/>
      <c r="I11" s="6"/>
      <c r="J11" s="6"/>
      <c r="K11" s="8"/>
      <c r="L11" s="8"/>
      <c r="M11" s="29"/>
      <c r="N11" s="10"/>
      <c r="O11" s="8"/>
      <c r="P11" s="8"/>
      <c r="Q11" s="8"/>
    </row>
    <row r="12" spans="1:17" ht="15" x14ac:dyDescent="0.2">
      <c r="B12" s="8"/>
      <c r="C12" s="8"/>
      <c r="D12" s="8"/>
      <c r="F12" s="11"/>
      <c r="G12" s="11"/>
      <c r="H12" s="11"/>
      <c r="I12" s="11"/>
      <c r="J12" s="8"/>
      <c r="K12" s="8"/>
      <c r="M12" s="25" t="s">
        <v>24</v>
      </c>
      <c r="N12" s="12"/>
      <c r="O12" s="7"/>
      <c r="P12" s="8"/>
      <c r="Q12" s="8"/>
    </row>
    <row r="13" spans="1:17" ht="67.5" x14ac:dyDescent="0.2">
      <c r="A13" s="13" t="s">
        <v>11</v>
      </c>
      <c r="B13" s="14" t="s">
        <v>3</v>
      </c>
      <c r="C13" s="24" t="s">
        <v>29</v>
      </c>
      <c r="D13" s="13" t="s">
        <v>7</v>
      </c>
      <c r="E13" s="14" t="s">
        <v>2</v>
      </c>
      <c r="F13" s="13" t="s">
        <v>0</v>
      </c>
      <c r="G13" s="4" t="s">
        <v>15</v>
      </c>
      <c r="H13" s="4" t="s">
        <v>8</v>
      </c>
      <c r="I13" s="4" t="s">
        <v>16</v>
      </c>
      <c r="J13" s="14" t="s">
        <v>12</v>
      </c>
      <c r="K13" s="14" t="s">
        <v>10</v>
      </c>
      <c r="L13" s="14" t="s">
        <v>13</v>
      </c>
      <c r="M13" s="14" t="s">
        <v>9</v>
      </c>
      <c r="N13" s="20"/>
      <c r="O13" s="15" t="s">
        <v>6</v>
      </c>
      <c r="P13" s="31" t="s">
        <v>25</v>
      </c>
      <c r="Q13" s="15" t="s">
        <v>14</v>
      </c>
    </row>
    <row r="14" spans="1:17" x14ac:dyDescent="0.2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7" x14ac:dyDescent="0.2">
      <c r="A15" s="26" t="s">
        <v>17</v>
      </c>
      <c r="B15" s="16">
        <f t="shared" ref="B15:B18" si="10">ROUND(O15/12*$M$2,2)</f>
        <v>1109.19</v>
      </c>
      <c r="C15" s="16">
        <f>+P15/12*$M$2</f>
        <v>49.357841499999999</v>
      </c>
      <c r="D15" s="16">
        <f t="shared" ref="D15:D18" si="11">ROUND((B15+C15)/12,2)</f>
        <v>96.55</v>
      </c>
      <c r="E15" s="16">
        <f t="shared" ref="E15:E18" si="12">ROUND(Q15/12*$M$2,2)</f>
        <v>85.89</v>
      </c>
      <c r="F15" s="16">
        <f>SUM(B15:E15)</f>
        <v>1340.9878415000001</v>
      </c>
      <c r="G15" s="16"/>
      <c r="H15" s="3">
        <f t="shared" ref="H15:H17" si="13">ROUND(140*$M$2,2)</f>
        <v>93.32</v>
      </c>
      <c r="I15" s="3">
        <f t="shared" ref="I15:I17" si="14">ROUND(600/12,2)</f>
        <v>50</v>
      </c>
      <c r="J15" s="2">
        <f t="shared" ref="J15:J18" si="15">(F15+G15+H15+I15)/13.5-(F15+G15+H15+I15)*0.5%</f>
        <v>102.5271897925</v>
      </c>
      <c r="K15" s="2">
        <f t="shared" ref="K15:K18" si="16">ROUND(F15+G15+J15+H15+I15,2)</f>
        <v>1586.84</v>
      </c>
      <c r="L15" s="2">
        <f t="shared" ref="L15:L18" si="17">ROUND((F15+G15+H15+I15)*33.663%,2)</f>
        <v>499.66</v>
      </c>
      <c r="M15" s="17">
        <f t="shared" ref="M15" si="18">K15+L15</f>
        <v>2086.5</v>
      </c>
      <c r="N15" s="18"/>
      <c r="O15" s="23">
        <v>19967.47</v>
      </c>
      <c r="P15" s="23">
        <v>888.53</v>
      </c>
      <c r="Q15" s="23">
        <v>1546.16</v>
      </c>
    </row>
    <row r="16" spans="1:17" x14ac:dyDescent="0.2">
      <c r="A16" s="26" t="s">
        <v>18</v>
      </c>
      <c r="B16" s="16">
        <f t="shared" si="10"/>
        <v>1163.92</v>
      </c>
      <c r="C16" s="16">
        <f t="shared" ref="C16:C18" si="19">+P16/12*$M$2</f>
        <v>51.795375499999999</v>
      </c>
      <c r="D16" s="16">
        <f t="shared" si="11"/>
        <v>101.31</v>
      </c>
      <c r="E16" s="16">
        <f t="shared" si="12"/>
        <v>114.1</v>
      </c>
      <c r="F16" s="16">
        <f>SUM(B16:E16)</f>
        <v>1431.1253755</v>
      </c>
      <c r="G16" s="16"/>
      <c r="H16" s="3">
        <f t="shared" si="13"/>
        <v>93.32</v>
      </c>
      <c r="I16" s="3">
        <f t="shared" si="14"/>
        <v>50</v>
      </c>
      <c r="J16" s="2">
        <f t="shared" si="15"/>
        <v>108.75335649287037</v>
      </c>
      <c r="K16" s="2">
        <f t="shared" si="16"/>
        <v>1683.2</v>
      </c>
      <c r="L16" s="2">
        <f t="shared" si="17"/>
        <v>530.01</v>
      </c>
      <c r="M16" s="17">
        <f>K16+L16</f>
        <v>2213.21</v>
      </c>
      <c r="N16" s="18"/>
      <c r="O16" s="23">
        <v>20952.599999999999</v>
      </c>
      <c r="P16" s="23">
        <v>932.41</v>
      </c>
      <c r="Q16" s="23">
        <v>2053.9700000000003</v>
      </c>
    </row>
    <row r="17" spans="1:19" x14ac:dyDescent="0.2">
      <c r="A17" s="26" t="s">
        <v>19</v>
      </c>
      <c r="B17" s="16">
        <f t="shared" si="10"/>
        <v>1327.78</v>
      </c>
      <c r="C17" s="16">
        <f t="shared" si="19"/>
        <v>59.088535</v>
      </c>
      <c r="D17" s="16">
        <f t="shared" si="11"/>
        <v>115.57</v>
      </c>
      <c r="E17" s="16">
        <f t="shared" si="12"/>
        <v>157.88</v>
      </c>
      <c r="F17" s="16">
        <f>SUM(B17:E17)</f>
        <v>1660.3185349999999</v>
      </c>
      <c r="G17" s="16"/>
      <c r="H17" s="3">
        <f t="shared" si="13"/>
        <v>93.32</v>
      </c>
      <c r="I17" s="3">
        <f t="shared" si="14"/>
        <v>50</v>
      </c>
      <c r="J17" s="2">
        <f t="shared" si="15"/>
        <v>124.58466176944444</v>
      </c>
      <c r="K17" s="2">
        <f t="shared" si="16"/>
        <v>1928.22</v>
      </c>
      <c r="L17" s="2">
        <f t="shared" si="17"/>
        <v>607.16</v>
      </c>
      <c r="M17" s="17">
        <f>K17+L17</f>
        <v>2535.38</v>
      </c>
      <c r="N17" s="18"/>
      <c r="O17" s="23">
        <v>23902.47</v>
      </c>
      <c r="P17" s="23">
        <v>1063.7</v>
      </c>
      <c r="Q17" s="23">
        <v>2842.16</v>
      </c>
    </row>
    <row r="18" spans="1:19" x14ac:dyDescent="0.2">
      <c r="A18" s="26" t="s">
        <v>20</v>
      </c>
      <c r="B18" s="16">
        <f t="shared" si="10"/>
        <v>1493.74</v>
      </c>
      <c r="C18" s="16">
        <f t="shared" si="19"/>
        <v>66.45335399999999</v>
      </c>
      <c r="D18" s="16">
        <f t="shared" si="11"/>
        <v>130.02000000000001</v>
      </c>
      <c r="E18" s="16">
        <f t="shared" si="12"/>
        <v>186.61</v>
      </c>
      <c r="F18" s="16">
        <f>SUM(B18:E18)</f>
        <v>1876.8233540000001</v>
      </c>
      <c r="G18" s="3">
        <f>ROUND(((3099)*1.15)/12,2)</f>
        <v>296.99</v>
      </c>
      <c r="H18" s="16"/>
      <c r="I18" s="16"/>
      <c r="J18" s="2">
        <f t="shared" si="15"/>
        <v>150.1541446374074</v>
      </c>
      <c r="K18" s="2">
        <f t="shared" si="16"/>
        <v>2323.9699999999998</v>
      </c>
      <c r="L18" s="2">
        <f t="shared" si="17"/>
        <v>731.77</v>
      </c>
      <c r="M18" s="17">
        <f>K18+L18</f>
        <v>3055.74</v>
      </c>
      <c r="N18" s="18"/>
      <c r="O18" s="23">
        <v>26890.05</v>
      </c>
      <c r="P18" s="23">
        <v>1196.28</v>
      </c>
      <c r="Q18" s="23">
        <v>3359.4</v>
      </c>
    </row>
    <row r="19" spans="1:19" ht="15" x14ac:dyDescent="0.2">
      <c r="A19" s="9"/>
      <c r="B19" s="6"/>
      <c r="C19" s="6"/>
      <c r="D19" s="6"/>
      <c r="E19" s="6"/>
      <c r="F19" s="6"/>
      <c r="G19" s="6"/>
      <c r="H19" s="6"/>
      <c r="I19" s="6"/>
      <c r="J19" s="6"/>
      <c r="K19" s="8"/>
      <c r="L19" s="8"/>
      <c r="M19" s="29"/>
      <c r="N19" s="10"/>
      <c r="O19" s="8"/>
      <c r="P19" s="8"/>
      <c r="Q19" s="8"/>
    </row>
    <row r="20" spans="1:19" ht="15" x14ac:dyDescent="0.2">
      <c r="B20" s="8"/>
      <c r="C20" s="8"/>
      <c r="D20" s="8"/>
      <c r="F20" s="11"/>
      <c r="G20" s="11"/>
      <c r="H20" s="11"/>
      <c r="I20" s="11"/>
      <c r="J20" s="8"/>
      <c r="K20" s="8"/>
      <c r="M20" s="25" t="s">
        <v>26</v>
      </c>
      <c r="N20" s="12"/>
      <c r="O20" s="7"/>
      <c r="P20" s="8"/>
      <c r="Q20" s="8"/>
    </row>
    <row r="21" spans="1:19" ht="67.5" x14ac:dyDescent="0.2">
      <c r="A21" s="13" t="s">
        <v>11</v>
      </c>
      <c r="B21" s="14" t="s">
        <v>3</v>
      </c>
      <c r="C21" s="24" t="s">
        <v>28</v>
      </c>
      <c r="D21" s="13" t="s">
        <v>7</v>
      </c>
      <c r="E21" s="14" t="s">
        <v>2</v>
      </c>
      <c r="F21" s="13" t="s">
        <v>0</v>
      </c>
      <c r="G21" s="4" t="s">
        <v>15</v>
      </c>
      <c r="H21" s="4" t="s">
        <v>8</v>
      </c>
      <c r="I21" s="4" t="s">
        <v>16</v>
      </c>
      <c r="J21" s="14" t="s">
        <v>12</v>
      </c>
      <c r="K21" s="14" t="s">
        <v>10</v>
      </c>
      <c r="L21" s="14" t="s">
        <v>13</v>
      </c>
      <c r="M21" s="14" t="s">
        <v>9</v>
      </c>
      <c r="N21" s="20"/>
      <c r="O21" s="15" t="s">
        <v>6</v>
      </c>
      <c r="P21" s="31" t="s">
        <v>27</v>
      </c>
      <c r="Q21" s="15" t="s">
        <v>14</v>
      </c>
    </row>
    <row r="22" spans="1:19" x14ac:dyDescent="0.2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9" x14ac:dyDescent="0.2">
      <c r="A23" s="26" t="s">
        <v>17</v>
      </c>
      <c r="B23" s="16">
        <f t="shared" ref="B23:B26" si="20">ROUND(O23/12*$M$2,2)</f>
        <v>1109.19</v>
      </c>
      <c r="C23" s="16">
        <f>+P23/12*$M$2</f>
        <v>53.797397499999995</v>
      </c>
      <c r="D23" s="16">
        <f t="shared" ref="D23:D26" si="21">ROUND((B23+C23)/12,2)</f>
        <v>96.92</v>
      </c>
      <c r="E23" s="16">
        <f t="shared" ref="E23:E26" si="22">ROUND(Q23/12*$M$2,2)</f>
        <v>85.89</v>
      </c>
      <c r="F23" s="16">
        <f>SUM(B23:E23)</f>
        <v>1345.7973975000002</v>
      </c>
      <c r="G23" s="16"/>
      <c r="H23" s="3">
        <f t="shared" ref="H23:H25" si="23">ROUND(140*$M$2,2)</f>
        <v>93.32</v>
      </c>
      <c r="I23" s="3">
        <f t="shared" ref="I23:I25" si="24">ROUND(600/12,2)</f>
        <v>50</v>
      </c>
      <c r="J23" s="2">
        <f t="shared" ref="J23:J26" si="25">(F23+G23+H23+I23)/13.5-(F23+G23+H23+I23)*0.5%</f>
        <v>102.85940541990743</v>
      </c>
      <c r="K23" s="2">
        <f t="shared" ref="K23:K26" si="26">ROUND(F23+G23+J23+H23+I23,2)</f>
        <v>1591.98</v>
      </c>
      <c r="L23" s="2">
        <f t="shared" ref="L23:L26" si="27">ROUND((F23+G23+H23+I23)*33.663%,2)</f>
        <v>501.28</v>
      </c>
      <c r="M23" s="17">
        <f t="shared" ref="M23" si="28">K23+L23</f>
        <v>2093.2600000000002</v>
      </c>
      <c r="N23" s="18"/>
      <c r="O23" s="23">
        <v>19967.47</v>
      </c>
      <c r="P23" s="23">
        <v>968.45</v>
      </c>
      <c r="Q23" s="23">
        <v>1546.16</v>
      </c>
    </row>
    <row r="24" spans="1:19" x14ac:dyDescent="0.2">
      <c r="A24" s="26" t="s">
        <v>18</v>
      </c>
      <c r="B24" s="16">
        <f t="shared" si="20"/>
        <v>1163.92</v>
      </c>
      <c r="C24" s="16">
        <f t="shared" ref="C24:C26" si="29">+P24/12*$M$2</f>
        <v>56.44824349999999</v>
      </c>
      <c r="D24" s="16">
        <f t="shared" si="21"/>
        <v>101.7</v>
      </c>
      <c r="E24" s="16">
        <f t="shared" si="22"/>
        <v>114.1</v>
      </c>
      <c r="F24" s="16">
        <f>SUM(B24:E24)</f>
        <v>1436.1682435</v>
      </c>
      <c r="G24" s="16"/>
      <c r="H24" s="3">
        <f t="shared" si="23"/>
        <v>93.32</v>
      </c>
      <c r="I24" s="3">
        <f t="shared" si="24"/>
        <v>50</v>
      </c>
      <c r="J24" s="2">
        <f t="shared" si="25"/>
        <v>109.10168793064814</v>
      </c>
      <c r="K24" s="2">
        <f t="shared" si="26"/>
        <v>1688.59</v>
      </c>
      <c r="L24" s="2">
        <f t="shared" si="27"/>
        <v>531.70000000000005</v>
      </c>
      <c r="M24" s="17">
        <f>K24+L24</f>
        <v>2220.29</v>
      </c>
      <c r="N24" s="18"/>
      <c r="O24" s="23">
        <v>20952.599999999999</v>
      </c>
      <c r="P24" s="23">
        <v>1016.17</v>
      </c>
      <c r="Q24" s="23">
        <v>2053.9700000000003</v>
      </c>
    </row>
    <row r="25" spans="1:19" x14ac:dyDescent="0.2">
      <c r="A25" s="26" t="s">
        <v>19</v>
      </c>
      <c r="B25" s="16">
        <f t="shared" si="20"/>
        <v>1327.78</v>
      </c>
      <c r="C25" s="16">
        <f t="shared" si="29"/>
        <v>64.401336999999998</v>
      </c>
      <c r="D25" s="16">
        <f t="shared" si="21"/>
        <v>116.02</v>
      </c>
      <c r="E25" s="16">
        <f t="shared" si="22"/>
        <v>157.88</v>
      </c>
      <c r="F25" s="16">
        <f>SUM(B25:E25)</f>
        <v>1666.0813370000001</v>
      </c>
      <c r="G25" s="16"/>
      <c r="H25" s="3">
        <f t="shared" si="23"/>
        <v>93.32</v>
      </c>
      <c r="I25" s="3">
        <f t="shared" si="24"/>
        <v>50</v>
      </c>
      <c r="J25" s="2">
        <f t="shared" si="25"/>
        <v>124.98272198166667</v>
      </c>
      <c r="K25" s="2">
        <f t="shared" si="26"/>
        <v>1934.38</v>
      </c>
      <c r="L25" s="2">
        <f t="shared" si="27"/>
        <v>609.1</v>
      </c>
      <c r="M25" s="17">
        <f>K25+L25</f>
        <v>2543.48</v>
      </c>
      <c r="N25" s="18"/>
      <c r="O25" s="23">
        <v>23902.47</v>
      </c>
      <c r="P25" s="23">
        <v>1159.3399999999999</v>
      </c>
      <c r="Q25" s="23">
        <v>2842.16</v>
      </c>
    </row>
    <row r="26" spans="1:19" x14ac:dyDescent="0.2">
      <c r="A26" s="26" t="s">
        <v>20</v>
      </c>
      <c r="B26" s="16">
        <f t="shared" si="20"/>
        <v>1493.74</v>
      </c>
      <c r="C26" s="16">
        <f t="shared" si="29"/>
        <v>72.426089999999988</v>
      </c>
      <c r="D26" s="16">
        <f t="shared" si="21"/>
        <v>130.51</v>
      </c>
      <c r="E26" s="16">
        <f t="shared" si="22"/>
        <v>186.61</v>
      </c>
      <c r="F26" s="16">
        <f>SUM(B26:E26)</f>
        <v>1883.2860900000001</v>
      </c>
      <c r="G26" s="3">
        <f>ROUND(((3099)*1.15)/12,2)</f>
        <v>296.99</v>
      </c>
      <c r="H26" s="16"/>
      <c r="I26" s="16"/>
      <c r="J26" s="2">
        <f t="shared" si="25"/>
        <v>150.60055214259262</v>
      </c>
      <c r="K26" s="2">
        <f t="shared" si="26"/>
        <v>2330.88</v>
      </c>
      <c r="L26" s="2">
        <f t="shared" si="27"/>
        <v>733.95</v>
      </c>
      <c r="M26" s="17">
        <f>K26+L26</f>
        <v>3064.83</v>
      </c>
      <c r="N26" s="18"/>
      <c r="O26" s="23">
        <v>26890.05</v>
      </c>
      <c r="P26" s="23">
        <v>1303.8</v>
      </c>
      <c r="Q26" s="23">
        <v>3359.4</v>
      </c>
    </row>
    <row r="27" spans="1:19" ht="15" x14ac:dyDescent="0.2">
      <c r="A27" s="9"/>
      <c r="B27" s="6"/>
      <c r="C27" s="6"/>
      <c r="D27" s="6"/>
      <c r="E27" s="6"/>
      <c r="F27" s="6"/>
      <c r="G27" s="6"/>
      <c r="H27" s="6"/>
      <c r="I27" s="6"/>
      <c r="J27" s="6"/>
      <c r="K27" s="8"/>
      <c r="L27" s="8"/>
      <c r="M27" s="29"/>
      <c r="N27" s="10"/>
      <c r="O27" s="8"/>
      <c r="P27" s="8"/>
      <c r="Q27" s="8"/>
    </row>
    <row r="28" spans="1:19" ht="15" x14ac:dyDescent="0.2">
      <c r="A28" s="9"/>
      <c r="B28" s="6"/>
      <c r="C28" s="6"/>
      <c r="D28" s="6"/>
      <c r="E28" s="6"/>
      <c r="F28" s="6"/>
      <c r="G28" s="6"/>
      <c r="H28" s="6"/>
      <c r="I28" s="6"/>
      <c r="J28" s="6"/>
      <c r="K28" s="8"/>
      <c r="L28" s="8"/>
      <c r="M28" s="29"/>
      <c r="N28" s="10"/>
      <c r="O28" s="8"/>
      <c r="P28" s="8"/>
      <c r="Q28" s="8"/>
    </row>
    <row r="30" spans="1:19" ht="15" x14ac:dyDescent="0.2">
      <c r="A30" s="27" t="s">
        <v>4</v>
      </c>
      <c r="B30" s="1" t="s">
        <v>5</v>
      </c>
      <c r="P30" s="21"/>
      <c r="Q30" s="21"/>
      <c r="R30" s="22"/>
      <c r="S30" s="19"/>
    </row>
  </sheetData>
  <mergeCells count="1">
    <mergeCell ref="A1:J1"/>
  </mergeCells>
  <printOptions horizontalCentered="1"/>
  <pageMargins left="0" right="0" top="0.98425196850393704" bottom="0.98425196850393704" header="0.51181102362204722" footer="0.51181102362204722"/>
  <pageSetup paperSize="9" scale="64" orientation="landscape" r:id="rId1"/>
  <headerFooter alignWithMargins="0"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3BD04-B158-49E3-9783-9CEDC929640D}">
  <sheetPr>
    <pageSetUpPr fitToPage="1"/>
  </sheetPr>
  <dimension ref="A1:S30"/>
  <sheetViews>
    <sheetView zoomScaleNormal="100" zoomScaleSheetLayoutView="100" workbookViewId="0">
      <selection activeCell="M3" sqref="M3"/>
    </sheetView>
  </sheetViews>
  <sheetFormatPr defaultColWidth="12.28515625" defaultRowHeight="12.75" x14ac:dyDescent="0.2"/>
  <cols>
    <col min="1" max="1" width="23" style="1" customWidth="1"/>
    <col min="2" max="2" width="13.7109375" style="1" customWidth="1"/>
    <col min="3" max="3" width="11" style="1" customWidth="1"/>
    <col min="4" max="4" width="9.7109375" style="1" bestFit="1" customWidth="1"/>
    <col min="5" max="5" width="14.28515625" style="1" customWidth="1"/>
    <col min="6" max="8" width="14.85546875" style="1" customWidth="1"/>
    <col min="9" max="9" width="16" style="1" customWidth="1"/>
    <col min="10" max="10" width="10.140625" style="1" customWidth="1"/>
    <col min="11" max="11" width="11.28515625" style="1" bestFit="1" customWidth="1"/>
    <col min="12" max="12" width="12.28515625" style="1" customWidth="1"/>
    <col min="13" max="13" width="14.42578125" style="1" customWidth="1"/>
    <col min="14" max="14" width="13.28515625" style="1" customWidth="1"/>
    <col min="15" max="15" width="13.85546875" style="1" customWidth="1"/>
    <col min="16" max="16" width="11.42578125" style="1" customWidth="1"/>
    <col min="17" max="17" width="11.28515625" style="1" bestFit="1" customWidth="1"/>
    <col min="18" max="18" width="16.42578125" style="1" bestFit="1" customWidth="1"/>
    <col min="19" max="16384" width="12.28515625" style="1"/>
  </cols>
  <sheetData>
    <row r="1" spans="1:17" ht="14.25" x14ac:dyDescent="0.2">
      <c r="A1" s="32" t="s">
        <v>21</v>
      </c>
      <c r="B1" s="32"/>
      <c r="C1" s="32"/>
      <c r="D1" s="32"/>
      <c r="E1" s="32"/>
      <c r="F1" s="32"/>
      <c r="G1" s="32"/>
      <c r="H1" s="32"/>
      <c r="I1" s="32"/>
      <c r="J1" s="32"/>
      <c r="M1" s="7"/>
      <c r="N1" s="7"/>
      <c r="O1" s="8"/>
    </row>
    <row r="2" spans="1:17" ht="15" x14ac:dyDescent="0.2">
      <c r="A2" s="9"/>
      <c r="B2" s="6" t="s">
        <v>1</v>
      </c>
      <c r="C2" s="6"/>
      <c r="D2" s="6"/>
      <c r="E2" s="6"/>
      <c r="F2" s="6"/>
      <c r="G2" s="6"/>
      <c r="H2" s="6"/>
      <c r="I2" s="6"/>
      <c r="J2" s="6"/>
      <c r="K2" s="8"/>
      <c r="L2" s="8"/>
      <c r="M2" s="28">
        <v>0.5</v>
      </c>
      <c r="N2" s="10"/>
      <c r="O2" s="8"/>
      <c r="P2" s="8"/>
      <c r="Q2" s="8"/>
    </row>
    <row r="3" spans="1:17" ht="15" x14ac:dyDescent="0.2">
      <c r="A3" s="9"/>
      <c r="B3" s="6"/>
      <c r="C3" s="6"/>
      <c r="D3" s="6"/>
      <c r="E3" s="6"/>
      <c r="F3" s="6"/>
      <c r="G3" s="6"/>
      <c r="H3" s="6"/>
      <c r="I3" s="6"/>
      <c r="J3" s="6"/>
      <c r="K3" s="8"/>
      <c r="L3" s="8"/>
      <c r="M3" s="29"/>
      <c r="N3" s="10"/>
      <c r="O3" s="8"/>
      <c r="P3" s="8"/>
      <c r="Q3" s="8"/>
    </row>
    <row r="4" spans="1:17" ht="15" x14ac:dyDescent="0.2">
      <c r="B4" s="8"/>
      <c r="C4" s="8"/>
      <c r="D4" s="8"/>
      <c r="F4" s="11"/>
      <c r="G4" s="11"/>
      <c r="H4" s="11"/>
      <c r="I4" s="11"/>
      <c r="J4" s="8"/>
      <c r="K4" s="8"/>
      <c r="M4" s="25" t="s">
        <v>22</v>
      </c>
      <c r="N4" s="12"/>
      <c r="O4" s="7"/>
      <c r="P4" s="8"/>
      <c r="Q4" s="8"/>
    </row>
    <row r="5" spans="1:17" ht="67.5" x14ac:dyDescent="0.2">
      <c r="A5" s="13" t="s">
        <v>11</v>
      </c>
      <c r="B5" s="14" t="s">
        <v>3</v>
      </c>
      <c r="C5" s="24" t="s">
        <v>23</v>
      </c>
      <c r="D5" s="13" t="s">
        <v>7</v>
      </c>
      <c r="E5" s="14" t="s">
        <v>2</v>
      </c>
      <c r="F5" s="13" t="s">
        <v>0</v>
      </c>
      <c r="G5" s="4" t="s">
        <v>15</v>
      </c>
      <c r="H5" s="4" t="s">
        <v>8</v>
      </c>
      <c r="I5" s="4" t="s">
        <v>16</v>
      </c>
      <c r="J5" s="14" t="s">
        <v>12</v>
      </c>
      <c r="K5" s="14" t="s">
        <v>10</v>
      </c>
      <c r="L5" s="14" t="s">
        <v>13</v>
      </c>
      <c r="M5" s="14" t="s">
        <v>9</v>
      </c>
      <c r="N5" s="20"/>
      <c r="O5" s="15" t="s">
        <v>6</v>
      </c>
      <c r="P5" s="30" t="s">
        <v>23</v>
      </c>
      <c r="Q5" s="15" t="s">
        <v>14</v>
      </c>
    </row>
    <row r="6" spans="1:17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7" x14ac:dyDescent="0.2">
      <c r="A7" s="26" t="s">
        <v>17</v>
      </c>
      <c r="B7" s="16">
        <f t="shared" ref="B7:B10" si="0">ROUND(O7/12*$M$2,2)</f>
        <v>831.98</v>
      </c>
      <c r="C7" s="16">
        <f t="shared" ref="C7:C10" si="1">ROUND((P7*7.7)/12*$M$2,2)</f>
        <v>32.03</v>
      </c>
      <c r="D7" s="16">
        <f t="shared" ref="D7:D10" si="2">ROUND((B7+C7)/12,2)</f>
        <v>72</v>
      </c>
      <c r="E7" s="16">
        <f t="shared" ref="E7:E10" si="3">ROUND(Q7/12*$M$2,2)</f>
        <v>64.42</v>
      </c>
      <c r="F7" s="16">
        <f>SUM(B7:E7)</f>
        <v>1000.43</v>
      </c>
      <c r="G7" s="16"/>
      <c r="H7" s="3">
        <f t="shared" ref="H7:H9" si="4">ROUND(140*$M$2,2)</f>
        <v>70</v>
      </c>
      <c r="I7" s="3">
        <f t="shared" ref="I7:I9" si="5">ROUND(600/12,2)</f>
        <v>50</v>
      </c>
      <c r="J7" s="2">
        <f t="shared" ref="J7:J10" si="6">(F7+G7+H7+I7)/13.5-(F7+G7+H7+I7)*0.5%</f>
        <v>77.392664814814808</v>
      </c>
      <c r="K7" s="2">
        <f t="shared" ref="K7:K10" si="7">ROUND(F7+G7+J7+H7+I7,2)</f>
        <v>1197.82</v>
      </c>
      <c r="L7" s="2">
        <f t="shared" ref="L7:L10" si="8">ROUND((F7+G7+H7+I7)*33.663%,2)</f>
        <v>377.17</v>
      </c>
      <c r="M7" s="17">
        <f t="shared" ref="M7" si="9">K7+L7</f>
        <v>1574.99</v>
      </c>
      <c r="N7" s="18"/>
      <c r="O7" s="23">
        <v>19967.47</v>
      </c>
      <c r="P7" s="23">
        <v>99.84</v>
      </c>
      <c r="Q7" s="23">
        <v>1546.16</v>
      </c>
    </row>
    <row r="8" spans="1:17" x14ac:dyDescent="0.2">
      <c r="A8" s="26" t="s">
        <v>18</v>
      </c>
      <c r="B8" s="16">
        <f t="shared" si="0"/>
        <v>873.03</v>
      </c>
      <c r="C8" s="16">
        <f t="shared" si="1"/>
        <v>33.61</v>
      </c>
      <c r="D8" s="16">
        <f t="shared" si="2"/>
        <v>75.55</v>
      </c>
      <c r="E8" s="16">
        <f t="shared" si="3"/>
        <v>85.58</v>
      </c>
      <c r="F8" s="16">
        <f>SUM(B8:E8)</f>
        <v>1067.77</v>
      </c>
      <c r="G8" s="16"/>
      <c r="H8" s="3">
        <f t="shared" si="4"/>
        <v>70</v>
      </c>
      <c r="I8" s="3">
        <f t="shared" si="5"/>
        <v>50</v>
      </c>
      <c r="J8" s="2">
        <f t="shared" si="6"/>
        <v>82.044112962962956</v>
      </c>
      <c r="K8" s="2">
        <f t="shared" si="7"/>
        <v>1269.81</v>
      </c>
      <c r="L8" s="2">
        <f t="shared" si="8"/>
        <v>399.84</v>
      </c>
      <c r="M8" s="17">
        <f>K8+L8</f>
        <v>1669.6499999999999</v>
      </c>
      <c r="N8" s="18"/>
      <c r="O8" s="23">
        <v>20952.599999999999</v>
      </c>
      <c r="P8" s="23">
        <f>8.73*12</f>
        <v>104.76</v>
      </c>
      <c r="Q8" s="23">
        <v>2053.9700000000003</v>
      </c>
    </row>
    <row r="9" spans="1:17" x14ac:dyDescent="0.2">
      <c r="A9" s="26" t="s">
        <v>19</v>
      </c>
      <c r="B9" s="16">
        <f t="shared" si="0"/>
        <v>995.94</v>
      </c>
      <c r="C9" s="16">
        <f t="shared" si="1"/>
        <v>38.35</v>
      </c>
      <c r="D9" s="16">
        <f t="shared" si="2"/>
        <v>86.19</v>
      </c>
      <c r="E9" s="16">
        <f t="shared" si="3"/>
        <v>118.42</v>
      </c>
      <c r="F9" s="16">
        <f>SUM(B9:E9)</f>
        <v>1238.9000000000001</v>
      </c>
      <c r="G9" s="16"/>
      <c r="H9" s="3">
        <f t="shared" si="4"/>
        <v>70</v>
      </c>
      <c r="I9" s="3">
        <f t="shared" si="5"/>
        <v>50</v>
      </c>
      <c r="J9" s="2">
        <f t="shared" si="6"/>
        <v>93.864759259259273</v>
      </c>
      <c r="K9" s="2">
        <f t="shared" si="7"/>
        <v>1452.76</v>
      </c>
      <c r="L9" s="2">
        <f t="shared" si="8"/>
        <v>457.45</v>
      </c>
      <c r="M9" s="17">
        <f>K9+L9</f>
        <v>1910.21</v>
      </c>
      <c r="N9" s="18"/>
      <c r="O9" s="23">
        <v>23902.47</v>
      </c>
      <c r="P9" s="23">
        <v>119.52</v>
      </c>
      <c r="Q9" s="23">
        <v>2842.16</v>
      </c>
    </row>
    <row r="10" spans="1:17" x14ac:dyDescent="0.2">
      <c r="A10" s="26" t="s">
        <v>20</v>
      </c>
      <c r="B10" s="16">
        <f t="shared" si="0"/>
        <v>1120.42</v>
      </c>
      <c r="C10" s="16">
        <f t="shared" si="1"/>
        <v>43.12</v>
      </c>
      <c r="D10" s="16">
        <f t="shared" si="2"/>
        <v>96.96</v>
      </c>
      <c r="E10" s="16">
        <f t="shared" si="3"/>
        <v>139.97999999999999</v>
      </c>
      <c r="F10" s="16">
        <f>SUM(B10:E10)</f>
        <v>1400.48</v>
      </c>
      <c r="G10" s="3">
        <f>ROUND(((3099)*1.15)/12,2)</f>
        <v>296.99</v>
      </c>
      <c r="H10" s="16"/>
      <c r="I10" s="16"/>
      <c r="J10" s="2">
        <f t="shared" si="6"/>
        <v>117.25116851851851</v>
      </c>
      <c r="K10" s="2">
        <f t="shared" si="7"/>
        <v>1814.72</v>
      </c>
      <c r="L10" s="2">
        <f t="shared" si="8"/>
        <v>571.41999999999996</v>
      </c>
      <c r="M10" s="17">
        <f>K10+L10</f>
        <v>2386.14</v>
      </c>
      <c r="N10" s="18"/>
      <c r="O10" s="23">
        <v>26890.05</v>
      </c>
      <c r="P10" s="23">
        <v>134.4</v>
      </c>
      <c r="Q10" s="23">
        <v>3359.4</v>
      </c>
    </row>
    <row r="11" spans="1:17" ht="15" x14ac:dyDescent="0.2">
      <c r="A11" s="9"/>
      <c r="B11" s="6"/>
      <c r="C11" s="6"/>
      <c r="D11" s="6"/>
      <c r="E11" s="6"/>
      <c r="F11" s="6"/>
      <c r="G11" s="6"/>
      <c r="H11" s="6"/>
      <c r="I11" s="6"/>
      <c r="J11" s="6"/>
      <c r="K11" s="8"/>
      <c r="L11" s="8"/>
      <c r="M11" s="29"/>
      <c r="N11" s="10"/>
      <c r="O11" s="8"/>
      <c r="P11" s="8"/>
      <c r="Q11" s="8"/>
    </row>
    <row r="12" spans="1:17" ht="15" x14ac:dyDescent="0.2">
      <c r="B12" s="8"/>
      <c r="C12" s="8"/>
      <c r="D12" s="8"/>
      <c r="F12" s="11"/>
      <c r="G12" s="11"/>
      <c r="H12" s="11"/>
      <c r="I12" s="11"/>
      <c r="J12" s="8"/>
      <c r="K12" s="8"/>
      <c r="M12" s="25" t="s">
        <v>24</v>
      </c>
      <c r="N12" s="12"/>
      <c r="O12" s="7"/>
      <c r="P12" s="8"/>
      <c r="Q12" s="8"/>
    </row>
    <row r="13" spans="1:17" ht="67.5" x14ac:dyDescent="0.2">
      <c r="A13" s="13" t="s">
        <v>11</v>
      </c>
      <c r="B13" s="14" t="s">
        <v>3</v>
      </c>
      <c r="C13" s="24" t="s">
        <v>29</v>
      </c>
      <c r="D13" s="13" t="s">
        <v>7</v>
      </c>
      <c r="E13" s="14" t="s">
        <v>2</v>
      </c>
      <c r="F13" s="13" t="s">
        <v>0</v>
      </c>
      <c r="G13" s="4" t="s">
        <v>15</v>
      </c>
      <c r="H13" s="4" t="s">
        <v>8</v>
      </c>
      <c r="I13" s="4" t="s">
        <v>16</v>
      </c>
      <c r="J13" s="14" t="s">
        <v>12</v>
      </c>
      <c r="K13" s="14" t="s">
        <v>10</v>
      </c>
      <c r="L13" s="14" t="s">
        <v>13</v>
      </c>
      <c r="M13" s="14" t="s">
        <v>9</v>
      </c>
      <c r="N13" s="20"/>
      <c r="O13" s="15" t="s">
        <v>6</v>
      </c>
      <c r="P13" s="31" t="s">
        <v>25</v>
      </c>
      <c r="Q13" s="15" t="s">
        <v>14</v>
      </c>
    </row>
    <row r="14" spans="1:17" x14ac:dyDescent="0.2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7" x14ac:dyDescent="0.2">
      <c r="A15" s="26" t="s">
        <v>17</v>
      </c>
      <c r="B15" s="16">
        <f t="shared" ref="B15:B18" si="10">ROUND(O15/12*$M$2,2)</f>
        <v>831.98</v>
      </c>
      <c r="C15" s="16">
        <f>+P15/12*$M$2</f>
        <v>37.022083333333335</v>
      </c>
      <c r="D15" s="16">
        <f t="shared" ref="D15:D18" si="11">ROUND((B15+C15)/12,2)</f>
        <v>72.42</v>
      </c>
      <c r="E15" s="16">
        <f t="shared" ref="E15:E18" si="12">ROUND(Q15/12*$M$2,2)</f>
        <v>64.42</v>
      </c>
      <c r="F15" s="16">
        <f>SUM(B15:E15)</f>
        <v>1005.8420833333332</v>
      </c>
      <c r="G15" s="16"/>
      <c r="H15" s="3">
        <f t="shared" ref="H15:H17" si="13">ROUND(140*$M$2,2)</f>
        <v>70</v>
      </c>
      <c r="I15" s="3">
        <f t="shared" ref="I15:I17" si="14">ROUND(600/12,2)</f>
        <v>50</v>
      </c>
      <c r="J15" s="2">
        <f t="shared" ref="J15:J18" si="15">(F15+G15+H15+I15)/13.5-(F15+G15+H15+I15)*0.5%</f>
        <v>77.766499459876542</v>
      </c>
      <c r="K15" s="2">
        <f t="shared" ref="K15:K18" si="16">ROUND(F15+G15+J15+H15+I15,2)</f>
        <v>1203.6099999999999</v>
      </c>
      <c r="L15" s="2">
        <f t="shared" ref="L15:L18" si="17">ROUND((F15+G15+H15+I15)*33.663%,2)</f>
        <v>378.99</v>
      </c>
      <c r="M15" s="17">
        <f t="shared" ref="M15" si="18">K15+L15</f>
        <v>1582.6</v>
      </c>
      <c r="N15" s="18"/>
      <c r="O15" s="23">
        <v>19967.47</v>
      </c>
      <c r="P15" s="23">
        <v>888.53</v>
      </c>
      <c r="Q15" s="23">
        <v>1546.16</v>
      </c>
    </row>
    <row r="16" spans="1:17" x14ac:dyDescent="0.2">
      <c r="A16" s="26" t="s">
        <v>18</v>
      </c>
      <c r="B16" s="16">
        <f t="shared" si="10"/>
        <v>873.03</v>
      </c>
      <c r="C16" s="16">
        <f t="shared" ref="C16:C18" si="19">+P16/12*$M$2</f>
        <v>38.850416666666668</v>
      </c>
      <c r="D16" s="16">
        <f t="shared" si="11"/>
        <v>75.989999999999995</v>
      </c>
      <c r="E16" s="16">
        <f t="shared" si="12"/>
        <v>85.58</v>
      </c>
      <c r="F16" s="16">
        <f>SUM(B16:E16)</f>
        <v>1073.4504166666666</v>
      </c>
      <c r="G16" s="16"/>
      <c r="H16" s="3">
        <f t="shared" si="13"/>
        <v>70</v>
      </c>
      <c r="I16" s="3">
        <f t="shared" si="14"/>
        <v>50</v>
      </c>
      <c r="J16" s="2">
        <f t="shared" si="15"/>
        <v>82.43648248456789</v>
      </c>
      <c r="K16" s="2">
        <f t="shared" si="16"/>
        <v>1275.8900000000001</v>
      </c>
      <c r="L16" s="2">
        <f t="shared" si="17"/>
        <v>401.75</v>
      </c>
      <c r="M16" s="17">
        <f>K16+L16</f>
        <v>1677.64</v>
      </c>
      <c r="N16" s="18"/>
      <c r="O16" s="23">
        <v>20952.599999999999</v>
      </c>
      <c r="P16" s="23">
        <v>932.41</v>
      </c>
      <c r="Q16" s="23">
        <v>2053.9700000000003</v>
      </c>
    </row>
    <row r="17" spans="1:19" x14ac:dyDescent="0.2">
      <c r="A17" s="26" t="s">
        <v>19</v>
      </c>
      <c r="B17" s="16">
        <f t="shared" si="10"/>
        <v>995.94</v>
      </c>
      <c r="C17" s="16">
        <f t="shared" si="19"/>
        <v>44.320833333333333</v>
      </c>
      <c r="D17" s="16">
        <f t="shared" si="11"/>
        <v>86.69</v>
      </c>
      <c r="E17" s="16">
        <f t="shared" si="12"/>
        <v>118.42</v>
      </c>
      <c r="F17" s="16">
        <f>SUM(B17:E17)</f>
        <v>1245.3708333333336</v>
      </c>
      <c r="G17" s="16"/>
      <c r="H17" s="3">
        <f t="shared" si="13"/>
        <v>70</v>
      </c>
      <c r="I17" s="3">
        <f t="shared" si="14"/>
        <v>50</v>
      </c>
      <c r="J17" s="2">
        <f t="shared" si="15"/>
        <v>94.311726080246942</v>
      </c>
      <c r="K17" s="2">
        <f t="shared" si="16"/>
        <v>1459.68</v>
      </c>
      <c r="L17" s="2">
        <f t="shared" si="17"/>
        <v>459.62</v>
      </c>
      <c r="M17" s="17">
        <f>K17+L17</f>
        <v>1919.3000000000002</v>
      </c>
      <c r="N17" s="18"/>
      <c r="O17" s="23">
        <v>23902.47</v>
      </c>
      <c r="P17" s="23">
        <v>1063.7</v>
      </c>
      <c r="Q17" s="23">
        <v>2842.16</v>
      </c>
    </row>
    <row r="18" spans="1:19" x14ac:dyDescent="0.2">
      <c r="A18" s="26" t="s">
        <v>20</v>
      </c>
      <c r="B18" s="16">
        <f t="shared" si="10"/>
        <v>1120.42</v>
      </c>
      <c r="C18" s="16">
        <f t="shared" si="19"/>
        <v>49.844999999999999</v>
      </c>
      <c r="D18" s="16">
        <f t="shared" si="11"/>
        <v>97.52</v>
      </c>
      <c r="E18" s="16">
        <f t="shared" si="12"/>
        <v>139.97999999999999</v>
      </c>
      <c r="F18" s="16">
        <f>SUM(B18:E18)</f>
        <v>1407.7650000000001</v>
      </c>
      <c r="G18" s="3">
        <f>ROUND(((3099)*1.15)/12,2)</f>
        <v>296.99</v>
      </c>
      <c r="H18" s="16"/>
      <c r="I18" s="16"/>
      <c r="J18" s="2">
        <f t="shared" si="15"/>
        <v>117.75437314814816</v>
      </c>
      <c r="K18" s="2">
        <f t="shared" si="16"/>
        <v>1822.51</v>
      </c>
      <c r="L18" s="2">
        <f t="shared" si="17"/>
        <v>573.87</v>
      </c>
      <c r="M18" s="17">
        <f>K18+L18</f>
        <v>2396.38</v>
      </c>
      <c r="N18" s="18"/>
      <c r="O18" s="23">
        <v>26890.05</v>
      </c>
      <c r="P18" s="23">
        <v>1196.28</v>
      </c>
      <c r="Q18" s="23">
        <v>3359.4</v>
      </c>
    </row>
    <row r="19" spans="1:19" ht="15" x14ac:dyDescent="0.2">
      <c r="A19" s="9"/>
      <c r="B19" s="6"/>
      <c r="C19" s="6"/>
      <c r="D19" s="6"/>
      <c r="E19" s="6"/>
      <c r="F19" s="6"/>
      <c r="G19" s="6"/>
      <c r="H19" s="6"/>
      <c r="I19" s="6"/>
      <c r="J19" s="6"/>
      <c r="K19" s="8"/>
      <c r="L19" s="8"/>
      <c r="M19" s="29"/>
      <c r="N19" s="10"/>
      <c r="O19" s="8"/>
      <c r="P19" s="8"/>
      <c r="Q19" s="8"/>
    </row>
    <row r="20" spans="1:19" ht="15" x14ac:dyDescent="0.2">
      <c r="B20" s="8"/>
      <c r="C20" s="8"/>
      <c r="D20" s="8"/>
      <c r="F20" s="11"/>
      <c r="G20" s="11"/>
      <c r="H20" s="11"/>
      <c r="I20" s="11"/>
      <c r="J20" s="8"/>
      <c r="K20" s="8"/>
      <c r="M20" s="25" t="s">
        <v>26</v>
      </c>
      <c r="N20" s="12"/>
      <c r="O20" s="7"/>
      <c r="P20" s="8"/>
      <c r="Q20" s="8"/>
    </row>
    <row r="21" spans="1:19" ht="67.5" x14ac:dyDescent="0.2">
      <c r="A21" s="13" t="s">
        <v>11</v>
      </c>
      <c r="B21" s="14" t="s">
        <v>3</v>
      </c>
      <c r="C21" s="24" t="s">
        <v>28</v>
      </c>
      <c r="D21" s="13" t="s">
        <v>7</v>
      </c>
      <c r="E21" s="14" t="s">
        <v>2</v>
      </c>
      <c r="F21" s="13" t="s">
        <v>0</v>
      </c>
      <c r="G21" s="4" t="s">
        <v>15</v>
      </c>
      <c r="H21" s="4" t="s">
        <v>8</v>
      </c>
      <c r="I21" s="4" t="s">
        <v>16</v>
      </c>
      <c r="J21" s="14" t="s">
        <v>12</v>
      </c>
      <c r="K21" s="14" t="s">
        <v>10</v>
      </c>
      <c r="L21" s="14" t="s">
        <v>13</v>
      </c>
      <c r="M21" s="14" t="s">
        <v>9</v>
      </c>
      <c r="N21" s="20"/>
      <c r="O21" s="15" t="s">
        <v>6</v>
      </c>
      <c r="P21" s="31" t="s">
        <v>27</v>
      </c>
      <c r="Q21" s="15" t="s">
        <v>14</v>
      </c>
    </row>
    <row r="22" spans="1:19" x14ac:dyDescent="0.2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9" x14ac:dyDescent="0.2">
      <c r="A23" s="26" t="s">
        <v>17</v>
      </c>
      <c r="B23" s="16">
        <f t="shared" ref="B23:B26" si="20">ROUND(O23/12*$M$2,2)</f>
        <v>831.98</v>
      </c>
      <c r="C23" s="16">
        <f>+P23/12*$M$2</f>
        <v>40.352083333333333</v>
      </c>
      <c r="D23" s="16">
        <f t="shared" ref="D23:D26" si="21">ROUND((B23+C23)/12,2)</f>
        <v>72.69</v>
      </c>
      <c r="E23" s="16">
        <f t="shared" ref="E23:E26" si="22">ROUND(Q23/12*$M$2,2)</f>
        <v>64.42</v>
      </c>
      <c r="F23" s="16">
        <f>SUM(B23:E23)</f>
        <v>1009.4420833333332</v>
      </c>
      <c r="G23" s="16"/>
      <c r="H23" s="3">
        <f t="shared" ref="H23:H25" si="23">ROUND(140*$M$2,2)</f>
        <v>70</v>
      </c>
      <c r="I23" s="3">
        <f t="shared" ref="I23:I25" si="24">ROUND(600/12,2)</f>
        <v>50</v>
      </c>
      <c r="J23" s="2">
        <f t="shared" ref="J23:J26" si="25">(F23+G23+H23+I23)/13.5-(F23+G23+H23+I23)*0.5%</f>
        <v>78.015166126543207</v>
      </c>
      <c r="K23" s="2">
        <f t="shared" ref="K23:K26" si="26">ROUND(F23+G23+J23+H23+I23,2)</f>
        <v>1207.46</v>
      </c>
      <c r="L23" s="2">
        <f t="shared" ref="L23:L26" si="27">ROUND((F23+G23+H23+I23)*33.663%,2)</f>
        <v>380.2</v>
      </c>
      <c r="M23" s="17">
        <f t="shared" ref="M23" si="28">K23+L23</f>
        <v>1587.66</v>
      </c>
      <c r="N23" s="18"/>
      <c r="O23" s="23">
        <v>19967.47</v>
      </c>
      <c r="P23" s="23">
        <v>968.45</v>
      </c>
      <c r="Q23" s="23">
        <v>1546.16</v>
      </c>
    </row>
    <row r="24" spans="1:19" x14ac:dyDescent="0.2">
      <c r="A24" s="26" t="s">
        <v>18</v>
      </c>
      <c r="B24" s="16">
        <f t="shared" si="20"/>
        <v>873.03</v>
      </c>
      <c r="C24" s="16">
        <f t="shared" ref="C24:C26" si="29">+P24/12*$M$2</f>
        <v>42.340416666666663</v>
      </c>
      <c r="D24" s="16">
        <f t="shared" si="21"/>
        <v>76.28</v>
      </c>
      <c r="E24" s="16">
        <f t="shared" si="22"/>
        <v>85.58</v>
      </c>
      <c r="F24" s="16">
        <f>SUM(B24:E24)</f>
        <v>1077.2304166666665</v>
      </c>
      <c r="G24" s="16"/>
      <c r="H24" s="3">
        <f t="shared" si="23"/>
        <v>70</v>
      </c>
      <c r="I24" s="3">
        <f t="shared" si="24"/>
        <v>50</v>
      </c>
      <c r="J24" s="2">
        <f t="shared" si="25"/>
        <v>82.697582484567889</v>
      </c>
      <c r="K24" s="2">
        <f t="shared" si="26"/>
        <v>1279.93</v>
      </c>
      <c r="L24" s="2">
        <f t="shared" si="27"/>
        <v>403.02</v>
      </c>
      <c r="M24" s="17">
        <f>K24+L24</f>
        <v>1682.95</v>
      </c>
      <c r="N24" s="18"/>
      <c r="O24" s="23">
        <v>20952.599999999999</v>
      </c>
      <c r="P24" s="23">
        <v>1016.17</v>
      </c>
      <c r="Q24" s="23">
        <v>2053.9700000000003</v>
      </c>
    </row>
    <row r="25" spans="1:19" x14ac:dyDescent="0.2">
      <c r="A25" s="26" t="s">
        <v>19</v>
      </c>
      <c r="B25" s="16">
        <f t="shared" si="20"/>
        <v>995.94</v>
      </c>
      <c r="C25" s="16">
        <f t="shared" si="29"/>
        <v>48.305833333333332</v>
      </c>
      <c r="D25" s="16">
        <f t="shared" si="21"/>
        <v>87.02</v>
      </c>
      <c r="E25" s="16">
        <f t="shared" si="22"/>
        <v>118.42</v>
      </c>
      <c r="F25" s="16">
        <f>SUM(B25:E25)</f>
        <v>1249.6858333333334</v>
      </c>
      <c r="G25" s="16"/>
      <c r="H25" s="3">
        <f t="shared" si="23"/>
        <v>70</v>
      </c>
      <c r="I25" s="3">
        <f t="shared" si="24"/>
        <v>50</v>
      </c>
      <c r="J25" s="2">
        <f t="shared" si="25"/>
        <v>94.60978070987656</v>
      </c>
      <c r="K25" s="2">
        <f t="shared" si="26"/>
        <v>1464.3</v>
      </c>
      <c r="L25" s="2">
        <f t="shared" si="27"/>
        <v>461.08</v>
      </c>
      <c r="M25" s="17">
        <f>K25+L25</f>
        <v>1925.3799999999999</v>
      </c>
      <c r="N25" s="18"/>
      <c r="O25" s="23">
        <v>23902.47</v>
      </c>
      <c r="P25" s="23">
        <v>1159.3399999999999</v>
      </c>
      <c r="Q25" s="23">
        <v>2842.16</v>
      </c>
    </row>
    <row r="26" spans="1:19" x14ac:dyDescent="0.2">
      <c r="A26" s="26" t="s">
        <v>20</v>
      </c>
      <c r="B26" s="16">
        <f t="shared" si="20"/>
        <v>1120.42</v>
      </c>
      <c r="C26" s="16">
        <f t="shared" si="29"/>
        <v>54.324999999999996</v>
      </c>
      <c r="D26" s="16">
        <f t="shared" si="21"/>
        <v>97.9</v>
      </c>
      <c r="E26" s="16">
        <f t="shared" si="22"/>
        <v>139.97999999999999</v>
      </c>
      <c r="F26" s="16">
        <f>SUM(B26:E26)</f>
        <v>1412.6250000000002</v>
      </c>
      <c r="G26" s="3">
        <f>ROUND(((3099)*1.15)/12,2)</f>
        <v>296.99</v>
      </c>
      <c r="H26" s="16"/>
      <c r="I26" s="16"/>
      <c r="J26" s="2">
        <f t="shared" si="25"/>
        <v>118.09007314814816</v>
      </c>
      <c r="K26" s="2">
        <f t="shared" si="26"/>
        <v>1827.71</v>
      </c>
      <c r="L26" s="2">
        <f t="shared" si="27"/>
        <v>575.51</v>
      </c>
      <c r="M26" s="17">
        <f>K26+L26</f>
        <v>2403.2200000000003</v>
      </c>
      <c r="N26" s="18"/>
      <c r="O26" s="23">
        <v>26890.05</v>
      </c>
      <c r="P26" s="23">
        <v>1303.8</v>
      </c>
      <c r="Q26" s="23">
        <v>3359.4</v>
      </c>
    </row>
    <row r="27" spans="1:19" ht="15" x14ac:dyDescent="0.2">
      <c r="A27" s="9"/>
      <c r="B27" s="6"/>
      <c r="C27" s="6"/>
      <c r="D27" s="6"/>
      <c r="E27" s="6"/>
      <c r="F27" s="6"/>
      <c r="G27" s="6"/>
      <c r="H27" s="6"/>
      <c r="I27" s="6"/>
      <c r="J27" s="6"/>
      <c r="K27" s="8"/>
      <c r="L27" s="8"/>
      <c r="M27" s="29"/>
      <c r="N27" s="10"/>
      <c r="O27" s="8"/>
      <c r="P27" s="8"/>
      <c r="Q27" s="8"/>
    </row>
    <row r="28" spans="1:19" ht="15" x14ac:dyDescent="0.2">
      <c r="A28" s="9"/>
      <c r="B28" s="6"/>
      <c r="C28" s="6"/>
      <c r="D28" s="6"/>
      <c r="E28" s="6"/>
      <c r="F28" s="6"/>
      <c r="G28" s="6"/>
      <c r="H28" s="6"/>
      <c r="I28" s="6"/>
      <c r="J28" s="6"/>
      <c r="K28" s="8"/>
      <c r="L28" s="8"/>
      <c r="M28" s="29"/>
      <c r="N28" s="10"/>
      <c r="O28" s="8"/>
      <c r="P28" s="8"/>
      <c r="Q28" s="8"/>
    </row>
    <row r="30" spans="1:19" ht="15" x14ac:dyDescent="0.2">
      <c r="A30" s="27" t="s">
        <v>4</v>
      </c>
      <c r="B30" s="1" t="s">
        <v>5</v>
      </c>
      <c r="P30" s="21"/>
      <c r="Q30" s="21"/>
      <c r="R30" s="22"/>
      <c r="S30" s="19"/>
    </row>
  </sheetData>
  <mergeCells count="1">
    <mergeCell ref="A1:J1"/>
  </mergeCells>
  <printOptions horizontalCentered="1"/>
  <pageMargins left="0" right="0" top="0.98425196850393704" bottom="0.98425196850393704" header="0.51181102362204722" footer="0.51181102362204722"/>
  <pageSetup paperSize="9" scale="64" orientation="landscape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NT FinDiv 100%</vt:lpstr>
      <vt:lpstr>NT FinDiv 83,33%</vt:lpstr>
      <vt:lpstr>NT FinDiv 66,66%</vt:lpstr>
      <vt:lpstr>NT FinDiv 50%</vt:lpstr>
    </vt:vector>
  </TitlesOfParts>
  <Company>UNIV. DEGLI  DI  FIRENZE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UNIV. DEGLI  DI  FIRENZE</dc:creator>
  <cp:lastModifiedBy>CLAUDIA CAPONI D096387</cp:lastModifiedBy>
  <cp:lastPrinted>2018-04-20T10:50:32Z</cp:lastPrinted>
  <dcterms:created xsi:type="dcterms:W3CDTF">2003-05-21T09:14:45Z</dcterms:created>
  <dcterms:modified xsi:type="dcterms:W3CDTF">2025-06-09T08:31:52Z</dcterms:modified>
</cp:coreProperties>
</file>