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codeName="Questa_cartella_di_lavoro" defaultThemeVersion="124226"/>
  <mc:AlternateContent xmlns:mc="http://schemas.openxmlformats.org/markup-compatibility/2006">
    <mc:Choice Requires="x15">
      <x15ac:absPath xmlns:x15ac="http://schemas.microsoft.com/office/spreadsheetml/2010/11/ac" url="\\olmo.unifi.it\ASEF_DOCUMENTI_STIPENDI\DOCUMENTI STANZA 82_219\CCNL 2019_2021 giuridico_economico\paginaweb CCNL2019_2021\aggiornamento aprile 25\"/>
    </mc:Choice>
  </mc:AlternateContent>
  <xr:revisionPtr revIDLastSave="0" documentId="13_ncr:1_{ED6F527A-ACAA-4415-BD6F-E2981C4EB066}" xr6:coauthVersionLast="47" xr6:coauthVersionMax="47" xr10:uidLastSave="{00000000-0000-0000-0000-000000000000}"/>
  <bookViews>
    <workbookView xWindow="-120" yWindow="-120" windowWidth="29040" windowHeight="15720" firstSheet="4" activeTab="6" xr2:uid="{00000000-000D-0000-FFFF-FFFF00000000}"/>
  </bookViews>
  <sheets>
    <sheet name="genn-marzo 2022" sheetId="10" r:id="rId1"/>
    <sheet name="aprile giugno 2022" sheetId="11" r:id="rId2"/>
    <sheet name="da luglio 22 a dic 2022" sheetId="12" r:id="rId3"/>
    <sheet name="gennaio 2023" sheetId="15" r:id="rId4"/>
    <sheet name="da febbraio a dicembre 2023" sheetId="13" r:id="rId5"/>
    <sheet name="da gennaio ad aprile 2024" sheetId="17" r:id="rId6"/>
    <sheet name="da maggio a dicembre 2024" sheetId="18" r:id="rId7"/>
    <sheet name="CCNL Economico 2022" sheetId="7" r:id="rId8"/>
    <sheet name="IVC 2022-24" sheetId="14" r:id="rId9"/>
    <sheet name="Emonum Acc 2023" sheetId="16"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13" l="1"/>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J35" i="15" l="1"/>
  <c r="K35" i="15" s="1"/>
  <c r="J32" i="15"/>
  <c r="K32" i="15" s="1"/>
  <c r="J29" i="15"/>
  <c r="K29" i="15" s="1"/>
  <c r="J24" i="15"/>
  <c r="K24" i="15" s="1"/>
  <c r="J23" i="15"/>
  <c r="K23" i="15" s="1"/>
  <c r="J17" i="15"/>
  <c r="K17" i="15" s="1"/>
  <c r="J16" i="15"/>
  <c r="K16" i="15" s="1"/>
  <c r="J15" i="15"/>
  <c r="K15" i="15" s="1"/>
  <c r="I6" i="15"/>
  <c r="J6" i="15"/>
  <c r="L6" i="15" s="1"/>
  <c r="G36" i="15"/>
  <c r="F36" i="15"/>
  <c r="E36" i="15"/>
  <c r="G35" i="15"/>
  <c r="F35" i="15"/>
  <c r="E35" i="15"/>
  <c r="I35" i="15"/>
  <c r="G34" i="15"/>
  <c r="F34" i="15"/>
  <c r="E34" i="15"/>
  <c r="I34" i="15"/>
  <c r="J34" i="15" s="1"/>
  <c r="K34" i="15" s="1"/>
  <c r="G33" i="15"/>
  <c r="F33" i="15"/>
  <c r="E33" i="15"/>
  <c r="C33" i="15"/>
  <c r="O32" i="15"/>
  <c r="G32" i="15"/>
  <c r="F32" i="15"/>
  <c r="E32" i="15"/>
  <c r="I32" i="15"/>
  <c r="O31" i="15"/>
  <c r="G31" i="15"/>
  <c r="F31" i="15"/>
  <c r="E31" i="15"/>
  <c r="O30" i="15"/>
  <c r="I30" i="15"/>
  <c r="J30" i="15" s="1"/>
  <c r="K30" i="15" s="1"/>
  <c r="G30" i="15"/>
  <c r="F30" i="15"/>
  <c r="E30" i="15"/>
  <c r="C30" i="15" s="1"/>
  <c r="G29" i="15"/>
  <c r="F29" i="15"/>
  <c r="E29" i="15"/>
  <c r="I29" i="15"/>
  <c r="G28" i="15"/>
  <c r="F28" i="15"/>
  <c r="E28" i="15"/>
  <c r="I28" i="15"/>
  <c r="J28" i="15" s="1"/>
  <c r="K28" i="15" s="1"/>
  <c r="G27" i="15"/>
  <c r="F27" i="15"/>
  <c r="E27" i="15"/>
  <c r="G26" i="15"/>
  <c r="F26" i="15"/>
  <c r="E26" i="15"/>
  <c r="G25" i="15"/>
  <c r="F25" i="15"/>
  <c r="E25" i="15"/>
  <c r="I25" i="15"/>
  <c r="J25" i="15" s="1"/>
  <c r="K25" i="15" s="1"/>
  <c r="O24" i="15"/>
  <c r="G24" i="15"/>
  <c r="F24" i="15"/>
  <c r="E24" i="15"/>
  <c r="I24" i="15"/>
  <c r="O23" i="15"/>
  <c r="G23" i="15"/>
  <c r="F23" i="15"/>
  <c r="E23" i="15"/>
  <c r="I23" i="15"/>
  <c r="O22" i="15"/>
  <c r="G22" i="15"/>
  <c r="F22" i="15"/>
  <c r="E22" i="15"/>
  <c r="I22" i="15"/>
  <c r="J22" i="15" s="1"/>
  <c r="K22" i="15" s="1"/>
  <c r="G21" i="15"/>
  <c r="F21" i="15"/>
  <c r="E21" i="15"/>
  <c r="I21" i="15"/>
  <c r="J21" i="15" s="1"/>
  <c r="K21" i="15" s="1"/>
  <c r="G20" i="15"/>
  <c r="F20" i="15"/>
  <c r="E20" i="15"/>
  <c r="I19" i="15"/>
  <c r="J19" i="15" s="1"/>
  <c r="K19" i="15" s="1"/>
  <c r="G19" i="15"/>
  <c r="F19" i="15"/>
  <c r="E19" i="15"/>
  <c r="C19" i="15"/>
  <c r="G18" i="15"/>
  <c r="F18" i="15"/>
  <c r="E18" i="15"/>
  <c r="I18" i="15"/>
  <c r="J18" i="15" s="1"/>
  <c r="K18" i="15" s="1"/>
  <c r="G17" i="15"/>
  <c r="F17" i="15"/>
  <c r="E17" i="15"/>
  <c r="I17" i="15"/>
  <c r="O16" i="15"/>
  <c r="I16" i="15"/>
  <c r="G16" i="15"/>
  <c r="F16" i="15"/>
  <c r="E16" i="15"/>
  <c r="C16" i="15" s="1"/>
  <c r="O15" i="15"/>
  <c r="I15" i="15"/>
  <c r="G15" i="15"/>
  <c r="F15" i="15"/>
  <c r="E15" i="15"/>
  <c r="C15" i="15"/>
  <c r="O14" i="15"/>
  <c r="G14" i="15"/>
  <c r="F14" i="15"/>
  <c r="E14" i="15"/>
  <c r="I14" i="15"/>
  <c r="J14" i="15" s="1"/>
  <c r="K14" i="15" s="1"/>
  <c r="G13" i="15"/>
  <c r="F13" i="15"/>
  <c r="E13" i="15"/>
  <c r="I12" i="15"/>
  <c r="J12" i="15" s="1"/>
  <c r="G12" i="15"/>
  <c r="F12" i="15"/>
  <c r="E12" i="15"/>
  <c r="C12" i="15" s="1"/>
  <c r="G11" i="15"/>
  <c r="F11" i="15"/>
  <c r="E11" i="15"/>
  <c r="I11" i="15"/>
  <c r="J11" i="15" s="1"/>
  <c r="G10" i="15"/>
  <c r="F10" i="15"/>
  <c r="E10" i="15"/>
  <c r="I10" i="15"/>
  <c r="J10" i="15" s="1"/>
  <c r="G9" i="15"/>
  <c r="F9" i="15"/>
  <c r="E9" i="15"/>
  <c r="O8" i="15"/>
  <c r="G8" i="15"/>
  <c r="F8" i="15"/>
  <c r="E8" i="15"/>
  <c r="O7" i="15"/>
  <c r="G7" i="15"/>
  <c r="F7" i="15"/>
  <c r="E7" i="15"/>
  <c r="O6" i="15"/>
  <c r="G6" i="15"/>
  <c r="F6" i="15"/>
  <c r="E6" i="15"/>
  <c r="I8" i="7"/>
  <c r="J8" i="7"/>
  <c r="K8" i="7"/>
  <c r="I9" i="7"/>
  <c r="J9" i="7"/>
  <c r="K9" i="7"/>
  <c r="I10" i="7"/>
  <c r="J10" i="7"/>
  <c r="K10" i="7"/>
  <c r="I11" i="7"/>
  <c r="J11" i="7"/>
  <c r="K11" i="7"/>
  <c r="I12" i="7"/>
  <c r="J12" i="7"/>
  <c r="K12" i="7"/>
  <c r="I13" i="7"/>
  <c r="J13" i="7"/>
  <c r="K13" i="7"/>
  <c r="I14" i="7"/>
  <c r="J14" i="7"/>
  <c r="K14" i="7"/>
  <c r="I15" i="7"/>
  <c r="J15" i="7"/>
  <c r="K15" i="7"/>
  <c r="I16" i="7"/>
  <c r="J16" i="7"/>
  <c r="K16" i="7"/>
  <c r="I17" i="7"/>
  <c r="J17" i="7"/>
  <c r="K17" i="7"/>
  <c r="I18" i="7"/>
  <c r="J18" i="7"/>
  <c r="K18" i="7"/>
  <c r="I19" i="7"/>
  <c r="J19" i="7"/>
  <c r="K19" i="7"/>
  <c r="I20" i="7"/>
  <c r="J20" i="7"/>
  <c r="K20" i="7"/>
  <c r="I21" i="7"/>
  <c r="J21" i="7"/>
  <c r="K21" i="7"/>
  <c r="I22" i="7"/>
  <c r="J22" i="7"/>
  <c r="K22" i="7"/>
  <c r="I23" i="7"/>
  <c r="J23" i="7"/>
  <c r="K23" i="7"/>
  <c r="I24" i="7"/>
  <c r="J24" i="7"/>
  <c r="K24" i="7"/>
  <c r="I25" i="7"/>
  <c r="J25" i="7"/>
  <c r="K25" i="7"/>
  <c r="I26" i="7"/>
  <c r="J26" i="7"/>
  <c r="K26" i="7"/>
  <c r="I27" i="7"/>
  <c r="J27" i="7"/>
  <c r="K27" i="7"/>
  <c r="I28" i="7"/>
  <c r="J28" i="7"/>
  <c r="K28" i="7"/>
  <c r="I29" i="7"/>
  <c r="J29" i="7"/>
  <c r="K29" i="7"/>
  <c r="I30" i="7"/>
  <c r="J30" i="7"/>
  <c r="K30" i="7"/>
  <c r="I31" i="7"/>
  <c r="J31" i="7"/>
  <c r="K31" i="7"/>
  <c r="I32" i="7"/>
  <c r="J32" i="7"/>
  <c r="K32" i="7"/>
  <c r="I33" i="7"/>
  <c r="J33" i="7"/>
  <c r="K33" i="7"/>
  <c r="I34" i="7"/>
  <c r="J34" i="7"/>
  <c r="K34" i="7"/>
  <c r="I35" i="7"/>
  <c r="J35" i="7"/>
  <c r="K35" i="7"/>
  <c r="I36" i="7"/>
  <c r="J36" i="7"/>
  <c r="K36" i="7"/>
  <c r="I37" i="7"/>
  <c r="J37" i="7"/>
  <c r="K37" i="7"/>
  <c r="K7" i="7"/>
  <c r="J7" i="7"/>
  <c r="I7" i="7"/>
  <c r="K12" i="15" l="1"/>
  <c r="C10" i="15"/>
  <c r="K10" i="15" s="1"/>
  <c r="C14" i="15"/>
  <c r="C28" i="15"/>
  <c r="C32" i="15"/>
  <c r="L11" i="15"/>
  <c r="L12" i="15"/>
  <c r="C17" i="15"/>
  <c r="C21" i="15"/>
  <c r="C31" i="15"/>
  <c r="I31" i="15"/>
  <c r="J31" i="15" s="1"/>
  <c r="K31" i="15" s="1"/>
  <c r="L32" i="15"/>
  <c r="C26" i="15"/>
  <c r="I26" i="15"/>
  <c r="J26" i="15" s="1"/>
  <c r="K26" i="15" s="1"/>
  <c r="I33" i="15"/>
  <c r="J33" i="15" s="1"/>
  <c r="K33" i="15" s="1"/>
  <c r="L10" i="15"/>
  <c r="L25" i="15"/>
  <c r="L16" i="15"/>
  <c r="L18" i="15"/>
  <c r="L19" i="15"/>
  <c r="L22" i="15"/>
  <c r="L14" i="15"/>
  <c r="L28" i="15"/>
  <c r="N28" i="15" s="1"/>
  <c r="L17" i="15"/>
  <c r="L21" i="15"/>
  <c r="L30" i="15"/>
  <c r="N30" i="15" s="1"/>
  <c r="L15" i="15"/>
  <c r="M15" i="15" s="1"/>
  <c r="L23" i="15"/>
  <c r="N23" i="15"/>
  <c r="C6" i="15"/>
  <c r="K6" i="15" s="1"/>
  <c r="C7" i="15"/>
  <c r="I7" i="15"/>
  <c r="J7" i="15" s="1"/>
  <c r="C8" i="15"/>
  <c r="I8" i="15"/>
  <c r="J8" i="15" s="1"/>
  <c r="C9" i="15"/>
  <c r="I9" i="15"/>
  <c r="J9" i="15" s="1"/>
  <c r="C13" i="15"/>
  <c r="I13" i="15"/>
  <c r="J13" i="15" s="1"/>
  <c r="C20" i="15"/>
  <c r="I20" i="15"/>
  <c r="J20" i="15" s="1"/>
  <c r="K20" i="15" s="1"/>
  <c r="C27" i="15"/>
  <c r="I27" i="15"/>
  <c r="J27" i="15" s="1"/>
  <c r="K27" i="15" s="1"/>
  <c r="C34" i="15"/>
  <c r="C11" i="15"/>
  <c r="K11" i="15" s="1"/>
  <c r="C18" i="15"/>
  <c r="C22" i="15"/>
  <c r="C23" i="15"/>
  <c r="C24" i="15"/>
  <c r="C25" i="15"/>
  <c r="C29" i="15"/>
  <c r="C36" i="15"/>
  <c r="I36" i="15"/>
  <c r="J36" i="15" s="1"/>
  <c r="K36" i="15" s="1"/>
  <c r="C35" i="15"/>
  <c r="E36" i="13"/>
  <c r="E35" i="13"/>
  <c r="E34" i="13"/>
  <c r="E33" i="13"/>
  <c r="N32" i="13"/>
  <c r="E32" i="13"/>
  <c r="N31" i="13"/>
  <c r="E31" i="13"/>
  <c r="N30" i="13"/>
  <c r="E30" i="13"/>
  <c r="E29" i="13"/>
  <c r="E28" i="13"/>
  <c r="E27" i="13"/>
  <c r="E26" i="13"/>
  <c r="E25" i="13"/>
  <c r="N24" i="13"/>
  <c r="E24" i="13"/>
  <c r="N23" i="13"/>
  <c r="E23" i="13"/>
  <c r="N22" i="13"/>
  <c r="E22" i="13"/>
  <c r="E21" i="13"/>
  <c r="E20" i="13"/>
  <c r="E19" i="13"/>
  <c r="E18" i="13"/>
  <c r="E17" i="13"/>
  <c r="N16" i="13"/>
  <c r="E16" i="13"/>
  <c r="N15" i="13"/>
  <c r="E15" i="13"/>
  <c r="N14" i="13"/>
  <c r="E14" i="13"/>
  <c r="E13" i="13"/>
  <c r="E12" i="13"/>
  <c r="E11" i="13"/>
  <c r="E10" i="13"/>
  <c r="E9" i="13"/>
  <c r="N8" i="13"/>
  <c r="E8" i="13"/>
  <c r="N7" i="13"/>
  <c r="E7" i="13"/>
  <c r="N6" i="13"/>
  <c r="E6" i="13"/>
  <c r="K7" i="15" l="1"/>
  <c r="K9" i="15"/>
  <c r="K8" i="15"/>
  <c r="K13" i="15"/>
  <c r="M13" i="15" s="1"/>
  <c r="M14" i="15"/>
  <c r="M18" i="15"/>
  <c r="N21" i="15"/>
  <c r="M28" i="15"/>
  <c r="N14" i="15"/>
  <c r="M10" i="15"/>
  <c r="L33" i="15"/>
  <c r="M12" i="15"/>
  <c r="N12" i="15"/>
  <c r="L26" i="15"/>
  <c r="N25" i="15"/>
  <c r="M25" i="15"/>
  <c r="L31" i="15"/>
  <c r="N32" i="15"/>
  <c r="M17" i="15"/>
  <c r="N10" i="15"/>
  <c r="M11" i="15"/>
  <c r="M16" i="15"/>
  <c r="L24" i="15"/>
  <c r="M24" i="15" s="1"/>
  <c r="N15" i="15"/>
  <c r="N22" i="15"/>
  <c r="L7" i="15"/>
  <c r="N7" i="15" s="1"/>
  <c r="L13" i="15"/>
  <c r="L8" i="15"/>
  <c r="N8" i="15" s="1"/>
  <c r="L27" i="15"/>
  <c r="L9" i="15"/>
  <c r="M9" i="15"/>
  <c r="L36" i="15"/>
  <c r="N19" i="15"/>
  <c r="M19" i="15"/>
  <c r="L34" i="15"/>
  <c r="N34" i="15"/>
  <c r="L20" i="15"/>
  <c r="N11" i="15"/>
  <c r="M6" i="15"/>
  <c r="L35" i="15"/>
  <c r="N35" i="15" s="1"/>
  <c r="L29" i="15"/>
  <c r="M23" i="15"/>
  <c r="M30" i="15"/>
  <c r="M21" i="15"/>
  <c r="N17" i="15"/>
  <c r="M22" i="15"/>
  <c r="N18" i="15"/>
  <c r="N16" i="15"/>
  <c r="G36" i="12"/>
  <c r="E36" i="12"/>
  <c r="G35" i="12"/>
  <c r="E35" i="12"/>
  <c r="G34" i="12"/>
  <c r="E34" i="12"/>
  <c r="G33" i="12"/>
  <c r="E33" i="12"/>
  <c r="N32" i="12"/>
  <c r="G32" i="12"/>
  <c r="E32" i="12"/>
  <c r="N31" i="12"/>
  <c r="G31" i="12"/>
  <c r="E31" i="12"/>
  <c r="N30" i="12"/>
  <c r="G30" i="12"/>
  <c r="E30" i="12"/>
  <c r="G29" i="12"/>
  <c r="E29" i="12"/>
  <c r="G28" i="12"/>
  <c r="E28" i="12"/>
  <c r="G27" i="12"/>
  <c r="E27" i="12"/>
  <c r="G26" i="12"/>
  <c r="E26" i="12"/>
  <c r="G25" i="12"/>
  <c r="E25" i="12"/>
  <c r="N24" i="12"/>
  <c r="G24" i="12"/>
  <c r="E24" i="12"/>
  <c r="N23" i="12"/>
  <c r="G23" i="12"/>
  <c r="E23" i="12"/>
  <c r="N22" i="12"/>
  <c r="G22" i="12"/>
  <c r="E22" i="12"/>
  <c r="G21" i="12"/>
  <c r="E21" i="12"/>
  <c r="G20" i="12"/>
  <c r="E20" i="12"/>
  <c r="G19" i="12"/>
  <c r="E19" i="12"/>
  <c r="G18" i="12"/>
  <c r="E18" i="12"/>
  <c r="G17" i="12"/>
  <c r="E17" i="12"/>
  <c r="N16" i="12"/>
  <c r="G16" i="12"/>
  <c r="E16" i="12"/>
  <c r="N15" i="12"/>
  <c r="G15" i="12"/>
  <c r="E15" i="12"/>
  <c r="N14" i="12"/>
  <c r="G14" i="12"/>
  <c r="E14" i="12"/>
  <c r="G13" i="12"/>
  <c r="E13" i="12"/>
  <c r="G12" i="12"/>
  <c r="E12" i="12"/>
  <c r="G11" i="12"/>
  <c r="E11" i="12"/>
  <c r="G10" i="12"/>
  <c r="E10" i="12"/>
  <c r="G9" i="12"/>
  <c r="E9" i="12"/>
  <c r="N8" i="12"/>
  <c r="G8" i="12"/>
  <c r="E8" i="12"/>
  <c r="N7" i="12"/>
  <c r="G7" i="12"/>
  <c r="E7" i="12"/>
  <c r="N6" i="12"/>
  <c r="G6" i="12"/>
  <c r="E6" i="12"/>
  <c r="N9" i="15" l="1"/>
  <c r="M32" i="15"/>
  <c r="M27" i="15"/>
  <c r="M7" i="15"/>
  <c r="M20" i="15"/>
  <c r="M31" i="15"/>
  <c r="M26" i="15"/>
  <c r="N33" i="15"/>
  <c r="N31" i="15"/>
  <c r="N26" i="15"/>
  <c r="M36" i="15"/>
  <c r="N24" i="15"/>
  <c r="M35" i="15"/>
  <c r="M29" i="15"/>
  <c r="N6" i="15"/>
  <c r="M33" i="15"/>
  <c r="N13" i="15"/>
  <c r="N20" i="15"/>
  <c r="N27" i="15"/>
  <c r="M8" i="15"/>
  <c r="N29" i="15"/>
  <c r="M34" i="15"/>
  <c r="N36" i="15"/>
  <c r="H20" i="12"/>
  <c r="C20" i="12"/>
  <c r="G36" i="11"/>
  <c r="E36" i="11"/>
  <c r="G35" i="11"/>
  <c r="E35" i="11"/>
  <c r="H35" i="11"/>
  <c r="G34" i="11"/>
  <c r="E34" i="11"/>
  <c r="H34" i="11"/>
  <c r="G33" i="11"/>
  <c r="E33" i="11"/>
  <c r="N32" i="11"/>
  <c r="G32" i="11"/>
  <c r="E32" i="11"/>
  <c r="N31" i="11"/>
  <c r="G31" i="11"/>
  <c r="E31" i="11"/>
  <c r="N30" i="11"/>
  <c r="G30" i="11"/>
  <c r="E30" i="11"/>
  <c r="G29" i="11"/>
  <c r="E29" i="11"/>
  <c r="G28" i="11"/>
  <c r="E28" i="11"/>
  <c r="C28" i="11" s="1"/>
  <c r="H28" i="11"/>
  <c r="H27" i="11"/>
  <c r="G27" i="11"/>
  <c r="E27" i="11"/>
  <c r="C27" i="11"/>
  <c r="G26" i="11"/>
  <c r="E26" i="11"/>
  <c r="G25" i="11"/>
  <c r="E25" i="11"/>
  <c r="N24" i="11"/>
  <c r="G24" i="11"/>
  <c r="E24" i="11"/>
  <c r="N23" i="11"/>
  <c r="G23" i="11"/>
  <c r="E23" i="11"/>
  <c r="N22" i="11"/>
  <c r="G22" i="11"/>
  <c r="E22" i="11"/>
  <c r="G21" i="11"/>
  <c r="E21" i="11"/>
  <c r="G20" i="11"/>
  <c r="E20" i="11"/>
  <c r="H20" i="11"/>
  <c r="G19" i="11"/>
  <c r="E19" i="11"/>
  <c r="G18" i="11"/>
  <c r="E18" i="11"/>
  <c r="G17" i="11"/>
  <c r="E17" i="11"/>
  <c r="N16" i="11"/>
  <c r="G16" i="11"/>
  <c r="E16" i="11"/>
  <c r="C16" i="11" s="1"/>
  <c r="H16" i="11"/>
  <c r="N15" i="11"/>
  <c r="G15" i="11"/>
  <c r="E15" i="11"/>
  <c r="N14" i="11"/>
  <c r="G14" i="11"/>
  <c r="E14" i="11"/>
  <c r="H14" i="11"/>
  <c r="G13" i="11"/>
  <c r="E13" i="11"/>
  <c r="H13" i="11"/>
  <c r="G12" i="11"/>
  <c r="E12" i="11"/>
  <c r="G11" i="11"/>
  <c r="E11" i="11"/>
  <c r="G10" i="11"/>
  <c r="E10" i="11"/>
  <c r="G9" i="11"/>
  <c r="E9" i="11"/>
  <c r="H9" i="11"/>
  <c r="N8" i="11"/>
  <c r="H8" i="11"/>
  <c r="G8" i="11"/>
  <c r="E8" i="11"/>
  <c r="C8" i="11"/>
  <c r="N7" i="11"/>
  <c r="G7" i="11"/>
  <c r="E7" i="11"/>
  <c r="N6" i="11"/>
  <c r="H6" i="11"/>
  <c r="G6" i="11"/>
  <c r="E6" i="11"/>
  <c r="C6" i="11"/>
  <c r="G36" i="10"/>
  <c r="E36" i="10"/>
  <c r="G35" i="10"/>
  <c r="E35" i="10"/>
  <c r="H35" i="10"/>
  <c r="G34" i="10"/>
  <c r="E34" i="10"/>
  <c r="H34" i="10"/>
  <c r="G33" i="10"/>
  <c r="E33" i="10"/>
  <c r="N32" i="10"/>
  <c r="G32" i="10"/>
  <c r="E32" i="10"/>
  <c r="N31" i="10"/>
  <c r="G31" i="10"/>
  <c r="E31" i="10"/>
  <c r="N30" i="10"/>
  <c r="G30" i="10"/>
  <c r="E30" i="10"/>
  <c r="G29" i="10"/>
  <c r="E29" i="10"/>
  <c r="G28" i="10"/>
  <c r="E28" i="10"/>
  <c r="G27" i="10"/>
  <c r="E27" i="10"/>
  <c r="H27" i="10"/>
  <c r="G26" i="10"/>
  <c r="E26" i="10"/>
  <c r="G25" i="10"/>
  <c r="E25" i="10"/>
  <c r="N24" i="10"/>
  <c r="G24" i="10"/>
  <c r="E24" i="10"/>
  <c r="N23" i="10"/>
  <c r="G23" i="10"/>
  <c r="E23" i="10"/>
  <c r="N22" i="10"/>
  <c r="G22" i="10"/>
  <c r="E22" i="10"/>
  <c r="G21" i="10"/>
  <c r="E21" i="10"/>
  <c r="G20" i="10"/>
  <c r="E20" i="10"/>
  <c r="H20" i="10"/>
  <c r="G19" i="10"/>
  <c r="E19" i="10"/>
  <c r="G18" i="10"/>
  <c r="E18" i="10"/>
  <c r="G17" i="10"/>
  <c r="E17" i="10"/>
  <c r="N16" i="10"/>
  <c r="G16" i="10"/>
  <c r="E16" i="10"/>
  <c r="C16" i="10" s="1"/>
  <c r="H16" i="10"/>
  <c r="N15" i="10"/>
  <c r="G15" i="10"/>
  <c r="E15" i="10"/>
  <c r="H15" i="10"/>
  <c r="N14" i="10"/>
  <c r="G14" i="10"/>
  <c r="E14" i="10"/>
  <c r="H14" i="10"/>
  <c r="G13" i="10"/>
  <c r="E13" i="10"/>
  <c r="H13" i="10"/>
  <c r="G12" i="10"/>
  <c r="E12" i="10"/>
  <c r="G11" i="10"/>
  <c r="E11" i="10"/>
  <c r="G10" i="10"/>
  <c r="E10" i="10"/>
  <c r="H10" i="10"/>
  <c r="G9" i="10"/>
  <c r="E9" i="10"/>
  <c r="H9" i="10"/>
  <c r="N8" i="10"/>
  <c r="G8" i="10"/>
  <c r="E8" i="10"/>
  <c r="H8" i="10"/>
  <c r="N7" i="10"/>
  <c r="G7" i="10"/>
  <c r="E7" i="10"/>
  <c r="H7" i="10"/>
  <c r="N6" i="10"/>
  <c r="G6" i="10"/>
  <c r="E6" i="10"/>
  <c r="H6" i="10"/>
  <c r="C9" i="10" l="1"/>
  <c r="H15" i="11"/>
  <c r="C27" i="10"/>
  <c r="C9" i="11"/>
  <c r="C13" i="11"/>
  <c r="C15" i="11"/>
  <c r="C20" i="11"/>
  <c r="H7" i="11"/>
  <c r="H10" i="11"/>
  <c r="H17" i="11"/>
  <c r="H21" i="11"/>
  <c r="C7" i="11"/>
  <c r="C10" i="11"/>
  <c r="C14" i="11"/>
  <c r="C17" i="11"/>
  <c r="C21" i="11"/>
  <c r="C34" i="11"/>
  <c r="H26" i="11"/>
  <c r="C26" i="11"/>
  <c r="H30" i="11"/>
  <c r="C30" i="11"/>
  <c r="H19" i="11"/>
  <c r="C19" i="11"/>
  <c r="C31" i="11"/>
  <c r="H31" i="11"/>
  <c r="H33" i="11"/>
  <c r="C33" i="11"/>
  <c r="C12" i="11"/>
  <c r="H12" i="11"/>
  <c r="H11" i="11"/>
  <c r="C11" i="11"/>
  <c r="C32" i="11"/>
  <c r="H32" i="11"/>
  <c r="C18" i="11"/>
  <c r="H18" i="11"/>
  <c r="C22" i="11"/>
  <c r="H22" i="11"/>
  <c r="C23" i="11"/>
  <c r="H23" i="11"/>
  <c r="C24" i="11"/>
  <c r="H24" i="11"/>
  <c r="C25" i="11"/>
  <c r="H25" i="11"/>
  <c r="C29" i="11"/>
  <c r="H29" i="11"/>
  <c r="C36" i="11"/>
  <c r="H36" i="11"/>
  <c r="C35" i="11"/>
  <c r="C8" i="10"/>
  <c r="C15" i="10"/>
  <c r="C20" i="10"/>
  <c r="H28" i="10"/>
  <c r="C7" i="10"/>
  <c r="C13" i="10"/>
  <c r="H17" i="10"/>
  <c r="H21" i="10"/>
  <c r="C28" i="10"/>
  <c r="C6" i="10"/>
  <c r="C17" i="10"/>
  <c r="C21" i="10"/>
  <c r="C34" i="10"/>
  <c r="H19" i="10"/>
  <c r="C19" i="10"/>
  <c r="H31" i="10"/>
  <c r="C31" i="10"/>
  <c r="C12" i="10"/>
  <c r="H12" i="10"/>
  <c r="H33" i="10"/>
  <c r="C33" i="10"/>
  <c r="H26" i="10"/>
  <c r="C26" i="10"/>
  <c r="C30" i="10"/>
  <c r="H30" i="10"/>
  <c r="H32" i="10"/>
  <c r="C32" i="10"/>
  <c r="C11" i="10"/>
  <c r="H11" i="10"/>
  <c r="C18" i="10"/>
  <c r="H18" i="10"/>
  <c r="C22" i="10"/>
  <c r="H22" i="10"/>
  <c r="C23" i="10"/>
  <c r="H23" i="10"/>
  <c r="C24" i="10"/>
  <c r="H24" i="10"/>
  <c r="C25" i="10"/>
  <c r="H25" i="10"/>
  <c r="C29" i="10"/>
  <c r="H29" i="10"/>
  <c r="C36" i="10"/>
  <c r="H36" i="10"/>
  <c r="C10" i="10"/>
  <c r="C14" i="10"/>
  <c r="C35" i="10"/>
  <c r="S8" i="7"/>
  <c r="S9" i="7"/>
  <c r="S10" i="7"/>
  <c r="S11" i="7"/>
  <c r="S12" i="7"/>
  <c r="S13" i="7"/>
  <c r="S14" i="7"/>
  <c r="S15" i="7"/>
  <c r="S16" i="7"/>
  <c r="S17" i="7"/>
  <c r="S18" i="7"/>
  <c r="S19" i="7"/>
  <c r="S20" i="7"/>
  <c r="S21" i="7"/>
  <c r="S22" i="7"/>
  <c r="S23" i="7"/>
  <c r="S24" i="7"/>
  <c r="S25" i="7"/>
  <c r="S26" i="7"/>
  <c r="S27" i="7"/>
  <c r="S28" i="7"/>
  <c r="S29" i="7"/>
  <c r="S30" i="7"/>
  <c r="S31" i="7"/>
  <c r="S32" i="7"/>
  <c r="S33" i="7"/>
  <c r="S34" i="7"/>
  <c r="S35" i="7"/>
  <c r="S36" i="7"/>
  <c r="S37" i="7"/>
  <c r="S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7" i="7"/>
  <c r="C26" i="13" l="1"/>
  <c r="H26" i="13"/>
  <c r="H10" i="13"/>
  <c r="C10" i="13"/>
  <c r="J10" i="13" s="1"/>
  <c r="H18" i="12"/>
  <c r="C18" i="12"/>
  <c r="H35" i="12"/>
  <c r="C35" i="12"/>
  <c r="F27" i="13"/>
  <c r="F27" i="12"/>
  <c r="F27" i="11"/>
  <c r="I27" i="11" s="1"/>
  <c r="F15" i="13"/>
  <c r="F15" i="12"/>
  <c r="F15" i="11"/>
  <c r="C25" i="13"/>
  <c r="H25" i="13"/>
  <c r="I25" i="13" s="1"/>
  <c r="J25" i="13" s="1"/>
  <c r="H13" i="13"/>
  <c r="I13" i="13" s="1"/>
  <c r="C13" i="13"/>
  <c r="H7" i="12"/>
  <c r="C7" i="12"/>
  <c r="C15" i="12"/>
  <c r="H15" i="12"/>
  <c r="C19" i="12"/>
  <c r="H19" i="12"/>
  <c r="C32" i="12"/>
  <c r="H32" i="12"/>
  <c r="H20" i="13"/>
  <c r="C20" i="13"/>
  <c r="H16" i="13"/>
  <c r="I16" i="13" s="1"/>
  <c r="J16" i="13" s="1"/>
  <c r="C16" i="13"/>
  <c r="H12" i="13"/>
  <c r="C12" i="13"/>
  <c r="J12" i="13" s="1"/>
  <c r="H8" i="13"/>
  <c r="C8" i="13"/>
  <c r="J8" i="13" s="1"/>
  <c r="H8" i="12"/>
  <c r="C8" i="12"/>
  <c r="C12" i="12"/>
  <c r="H12" i="12"/>
  <c r="I12" i="12" s="1"/>
  <c r="K12" i="12" s="1"/>
  <c r="H16" i="12"/>
  <c r="I16" i="12" s="1"/>
  <c r="C16" i="12"/>
  <c r="H21" i="12"/>
  <c r="I21" i="12" s="1"/>
  <c r="C21" i="12"/>
  <c r="H25" i="12"/>
  <c r="I25" i="12" s="1"/>
  <c r="C25" i="12"/>
  <c r="H29" i="12"/>
  <c r="C29" i="12"/>
  <c r="H33" i="12"/>
  <c r="C33" i="12"/>
  <c r="F6" i="13"/>
  <c r="F6" i="12"/>
  <c r="F6" i="11"/>
  <c r="F33" i="13"/>
  <c r="F33" i="12"/>
  <c r="F33" i="11"/>
  <c r="F29" i="13"/>
  <c r="F29" i="12"/>
  <c r="F29" i="11"/>
  <c r="F25" i="13"/>
  <c r="F25" i="12"/>
  <c r="F25" i="11"/>
  <c r="F21" i="13"/>
  <c r="F21" i="12"/>
  <c r="F21" i="11"/>
  <c r="F17" i="13"/>
  <c r="F17" i="12"/>
  <c r="F17" i="11"/>
  <c r="F13" i="13"/>
  <c r="F13" i="12"/>
  <c r="F13" i="11"/>
  <c r="I13" i="11" s="1"/>
  <c r="K13" i="11" s="1"/>
  <c r="F9" i="13"/>
  <c r="F9" i="12"/>
  <c r="F9" i="11"/>
  <c r="I9" i="11" s="1"/>
  <c r="K9" i="11" s="1"/>
  <c r="I33" i="11"/>
  <c r="I26" i="11"/>
  <c r="J26" i="11" s="1"/>
  <c r="I17" i="11"/>
  <c r="I15" i="11"/>
  <c r="J15" i="11" s="1"/>
  <c r="C34" i="13"/>
  <c r="H34" i="13"/>
  <c r="I34" i="13" s="1"/>
  <c r="J34" i="13" s="1"/>
  <c r="C22" i="13"/>
  <c r="H22" i="13"/>
  <c r="H14" i="12"/>
  <c r="I14" i="12" s="1"/>
  <c r="C14" i="12"/>
  <c r="H31" i="12"/>
  <c r="C31" i="12"/>
  <c r="F23" i="13"/>
  <c r="F23" i="12"/>
  <c r="F23" i="11"/>
  <c r="C33" i="13"/>
  <c r="H33" i="13"/>
  <c r="I33" i="13" s="1"/>
  <c r="J33" i="13" s="1"/>
  <c r="H21" i="13"/>
  <c r="C21" i="13"/>
  <c r="C28" i="12"/>
  <c r="H28" i="12"/>
  <c r="I28" i="12" s="1"/>
  <c r="C36" i="13"/>
  <c r="H36" i="13"/>
  <c r="I36" i="13" s="1"/>
  <c r="J36" i="13" s="1"/>
  <c r="H9" i="12"/>
  <c r="I9" i="12" s="1"/>
  <c r="C9" i="12"/>
  <c r="H13" i="12"/>
  <c r="I13" i="12" s="1"/>
  <c r="C13" i="12"/>
  <c r="H17" i="12"/>
  <c r="C17" i="12"/>
  <c r="H22" i="12"/>
  <c r="I22" i="12" s="1"/>
  <c r="C22" i="12"/>
  <c r="H26" i="12"/>
  <c r="C26" i="12"/>
  <c r="C30" i="12"/>
  <c r="H30" i="12"/>
  <c r="I30" i="12" s="1"/>
  <c r="H34" i="12"/>
  <c r="I34" i="12" s="1"/>
  <c r="C34" i="12"/>
  <c r="F36" i="13"/>
  <c r="F36" i="12"/>
  <c r="F36" i="11"/>
  <c r="I36" i="11" s="1"/>
  <c r="F32" i="13"/>
  <c r="F32" i="12"/>
  <c r="F32" i="11"/>
  <c r="I32" i="11" s="1"/>
  <c r="F28" i="13"/>
  <c r="F28" i="12"/>
  <c r="F28" i="11"/>
  <c r="I28" i="11" s="1"/>
  <c r="F24" i="13"/>
  <c r="F24" i="12"/>
  <c r="F24" i="11"/>
  <c r="F20" i="13"/>
  <c r="F20" i="12"/>
  <c r="F20" i="11"/>
  <c r="I20" i="11" s="1"/>
  <c r="F16" i="13"/>
  <c r="F16" i="12"/>
  <c r="F16" i="11"/>
  <c r="I16" i="11" s="1"/>
  <c r="F12" i="13"/>
  <c r="F12" i="12"/>
  <c r="F12" i="11"/>
  <c r="F8" i="13"/>
  <c r="F8" i="12"/>
  <c r="F8" i="11"/>
  <c r="I29" i="11"/>
  <c r="K29" i="11" s="1"/>
  <c r="I24" i="11"/>
  <c r="K24" i="11" s="1"/>
  <c r="I12" i="11"/>
  <c r="J10" i="11"/>
  <c r="I10" i="11"/>
  <c r="K10" i="11" s="1"/>
  <c r="C6" i="13"/>
  <c r="H6" i="13"/>
  <c r="I6" i="13" s="1"/>
  <c r="C18" i="13"/>
  <c r="H18" i="13"/>
  <c r="C6" i="12"/>
  <c r="H6" i="12"/>
  <c r="I6" i="12" s="1"/>
  <c r="K6" i="12" s="1"/>
  <c r="H23" i="12"/>
  <c r="I23" i="12" s="1"/>
  <c r="C23" i="12"/>
  <c r="F35" i="13"/>
  <c r="F35" i="12"/>
  <c r="F35" i="11"/>
  <c r="I35" i="11" s="1"/>
  <c r="F19" i="13"/>
  <c r="F19" i="12"/>
  <c r="F19" i="11"/>
  <c r="I19" i="11" s="1"/>
  <c r="F7" i="13"/>
  <c r="F7" i="12"/>
  <c r="I7" i="12" s="1"/>
  <c r="K7" i="12" s="1"/>
  <c r="F7" i="11"/>
  <c r="I7" i="11" s="1"/>
  <c r="K7" i="11" s="1"/>
  <c r="I30" i="11"/>
  <c r="K30" i="11" s="1"/>
  <c r="C30" i="13"/>
  <c r="H30" i="13"/>
  <c r="H14" i="13"/>
  <c r="I14" i="13" s="1"/>
  <c r="J14" i="13" s="1"/>
  <c r="C14" i="13"/>
  <c r="H10" i="12"/>
  <c r="C10" i="12"/>
  <c r="H27" i="12"/>
  <c r="I27" i="12" s="1"/>
  <c r="C27" i="12"/>
  <c r="F31" i="13"/>
  <c r="F31" i="12"/>
  <c r="F31" i="11"/>
  <c r="F11" i="13"/>
  <c r="F11" i="12"/>
  <c r="F11" i="11"/>
  <c r="I11" i="11" s="1"/>
  <c r="K11" i="11" s="1"/>
  <c r="C29" i="13"/>
  <c r="H29" i="13"/>
  <c r="I29" i="13" s="1"/>
  <c r="J29" i="13" s="1"/>
  <c r="H17" i="13"/>
  <c r="I17" i="13" s="1"/>
  <c r="J17" i="13" s="1"/>
  <c r="C17" i="13"/>
  <c r="C9" i="13"/>
  <c r="H9" i="13"/>
  <c r="I9" i="13" s="1"/>
  <c r="H11" i="12"/>
  <c r="I11" i="12" s="1"/>
  <c r="C11" i="12"/>
  <c r="H24" i="12"/>
  <c r="I24" i="12" s="1"/>
  <c r="C24" i="12"/>
  <c r="H36" i="12"/>
  <c r="I36" i="12" s="1"/>
  <c r="C36" i="12"/>
  <c r="F34" i="13"/>
  <c r="F34" i="12"/>
  <c r="F34" i="11"/>
  <c r="I34" i="11" s="1"/>
  <c r="F30" i="13"/>
  <c r="F30" i="12"/>
  <c r="F30" i="11"/>
  <c r="F26" i="13"/>
  <c r="F26" i="12"/>
  <c r="F26" i="11"/>
  <c r="F22" i="13"/>
  <c r="F22" i="12"/>
  <c r="F22" i="11"/>
  <c r="I22" i="11" s="1"/>
  <c r="F18" i="13"/>
  <c r="F18" i="12"/>
  <c r="I18" i="12" s="1"/>
  <c r="F18" i="11"/>
  <c r="I18" i="11" s="1"/>
  <c r="F14" i="13"/>
  <c r="F14" i="12"/>
  <c r="F14" i="11"/>
  <c r="I14" i="11" s="1"/>
  <c r="K14" i="11" s="1"/>
  <c r="F10" i="13"/>
  <c r="F10" i="12"/>
  <c r="F10" i="11"/>
  <c r="I25" i="11"/>
  <c r="K25" i="11" s="1"/>
  <c r="I23" i="11"/>
  <c r="J23" i="11" s="1"/>
  <c r="I31" i="11"/>
  <c r="K31" i="11" s="1"/>
  <c r="I21" i="11"/>
  <c r="K21" i="11" s="1"/>
  <c r="K15" i="11"/>
  <c r="J17" i="11"/>
  <c r="K17" i="11"/>
  <c r="J33" i="11"/>
  <c r="K33" i="11"/>
  <c r="L33" i="11" s="1"/>
  <c r="K23" i="11"/>
  <c r="J11" i="11"/>
  <c r="J12" i="11"/>
  <c r="K12" i="11"/>
  <c r="I22" i="10"/>
  <c r="K22" i="10" s="1"/>
  <c r="F28" i="10"/>
  <c r="I28" i="10" s="1"/>
  <c r="F20" i="10"/>
  <c r="I20" i="10" s="1"/>
  <c r="F12" i="10"/>
  <c r="I12" i="10" s="1"/>
  <c r="K12" i="10" s="1"/>
  <c r="F35" i="10"/>
  <c r="I35" i="10" s="1"/>
  <c r="F27" i="10"/>
  <c r="I27" i="10" s="1"/>
  <c r="F15" i="10"/>
  <c r="I15" i="10" s="1"/>
  <c r="F7" i="10"/>
  <c r="I7" i="10" s="1"/>
  <c r="F34" i="10"/>
  <c r="I34" i="10" s="1"/>
  <c r="F26" i="10"/>
  <c r="I26" i="10" s="1"/>
  <c r="F18" i="10"/>
  <c r="I18" i="10" s="1"/>
  <c r="F10" i="10"/>
  <c r="I10" i="10" s="1"/>
  <c r="K10" i="10" s="1"/>
  <c r="F36" i="10"/>
  <c r="I36" i="10" s="1"/>
  <c r="F32" i="10"/>
  <c r="I32" i="10" s="1"/>
  <c r="F24" i="10"/>
  <c r="I24" i="10" s="1"/>
  <c r="F16" i="10"/>
  <c r="I16" i="10" s="1"/>
  <c r="F8" i="10"/>
  <c r="I8" i="10" s="1"/>
  <c r="J13" i="10"/>
  <c r="F31" i="10"/>
  <c r="I31" i="10" s="1"/>
  <c r="F23" i="10"/>
  <c r="I23" i="10" s="1"/>
  <c r="F19" i="10"/>
  <c r="I19" i="10" s="1"/>
  <c r="J19" i="10" s="1"/>
  <c r="F11" i="10"/>
  <c r="I11" i="10" s="1"/>
  <c r="K11" i="10" s="1"/>
  <c r="F30" i="10"/>
  <c r="I30" i="10" s="1"/>
  <c r="F22" i="10"/>
  <c r="F14" i="10"/>
  <c r="I14" i="10" s="1"/>
  <c r="F6" i="10"/>
  <c r="I6" i="10" s="1"/>
  <c r="F33" i="10"/>
  <c r="I33" i="10" s="1"/>
  <c r="F29" i="10"/>
  <c r="I29" i="10" s="1"/>
  <c r="K29" i="10" s="1"/>
  <c r="F25" i="10"/>
  <c r="I25" i="10" s="1"/>
  <c r="F21" i="10"/>
  <c r="I21" i="10" s="1"/>
  <c r="F17" i="10"/>
  <c r="I17" i="10" s="1"/>
  <c r="F13" i="10"/>
  <c r="I13" i="10" s="1"/>
  <c r="F9" i="10"/>
  <c r="J10" i="10"/>
  <c r="J29" i="10"/>
  <c r="J9" i="13" l="1"/>
  <c r="J6" i="13"/>
  <c r="J13" i="13"/>
  <c r="J29" i="11"/>
  <c r="K19" i="10"/>
  <c r="M10" i="10"/>
  <c r="J30" i="11"/>
  <c r="M30" i="11" s="1"/>
  <c r="K26" i="11"/>
  <c r="L26" i="11" s="1"/>
  <c r="M15" i="11"/>
  <c r="I29" i="12"/>
  <c r="J29" i="12" s="1"/>
  <c r="L29" i="12" s="1"/>
  <c r="J31" i="11"/>
  <c r="L31" i="11" s="1"/>
  <c r="M10" i="11"/>
  <c r="I8" i="12"/>
  <c r="K8" i="12" s="1"/>
  <c r="I35" i="12"/>
  <c r="K35" i="12" s="1"/>
  <c r="L14" i="11"/>
  <c r="L15" i="11"/>
  <c r="J14" i="11"/>
  <c r="M14" i="11" s="1"/>
  <c r="I10" i="12"/>
  <c r="K10" i="12" s="1"/>
  <c r="L10" i="11"/>
  <c r="J19" i="11"/>
  <c r="K19" i="11"/>
  <c r="M19" i="11" s="1"/>
  <c r="K25" i="12"/>
  <c r="J25" i="12"/>
  <c r="K22" i="11"/>
  <c r="J22" i="11"/>
  <c r="J24" i="12"/>
  <c r="K24" i="12"/>
  <c r="M24" i="12" s="1"/>
  <c r="K27" i="12"/>
  <c r="J27" i="12"/>
  <c r="K36" i="11"/>
  <c r="J36" i="11"/>
  <c r="J34" i="12"/>
  <c r="K34" i="12"/>
  <c r="J28" i="12"/>
  <c r="K28" i="12"/>
  <c r="J18" i="11"/>
  <c r="K18" i="11"/>
  <c r="K32" i="11"/>
  <c r="J32" i="11"/>
  <c r="L32" i="11" s="1"/>
  <c r="K9" i="12"/>
  <c r="K18" i="12"/>
  <c r="J18" i="12"/>
  <c r="M18" i="12" s="1"/>
  <c r="K11" i="12"/>
  <c r="K17" i="13"/>
  <c r="M17" i="13" s="1"/>
  <c r="J23" i="12"/>
  <c r="K23" i="12"/>
  <c r="M23" i="12" s="1"/>
  <c r="K22" i="12"/>
  <c r="J22" i="12"/>
  <c r="K29" i="12"/>
  <c r="L17" i="11"/>
  <c r="L29" i="10"/>
  <c r="J25" i="11"/>
  <c r="M25" i="11" s="1"/>
  <c r="J24" i="11"/>
  <c r="L24" i="11" s="1"/>
  <c r="J21" i="11"/>
  <c r="L21" i="11" s="1"/>
  <c r="J7" i="11"/>
  <c r="M7" i="11" s="1"/>
  <c r="J13" i="11"/>
  <c r="M13" i="11" s="1"/>
  <c r="K35" i="11"/>
  <c r="J35" i="11"/>
  <c r="I18" i="13"/>
  <c r="J18" i="13" s="1"/>
  <c r="J9" i="11"/>
  <c r="J8" i="11"/>
  <c r="I8" i="11"/>
  <c r="J13" i="12"/>
  <c r="H15" i="13"/>
  <c r="I15" i="13" s="1"/>
  <c r="J15" i="13" s="1"/>
  <c r="C15" i="13"/>
  <c r="C31" i="13"/>
  <c r="H31" i="13"/>
  <c r="I31" i="13" s="1"/>
  <c r="J31" i="13" s="1"/>
  <c r="I21" i="13"/>
  <c r="J21" i="13" s="1"/>
  <c r="J12" i="12"/>
  <c r="C24" i="13"/>
  <c r="H24" i="13"/>
  <c r="I24" i="13" s="1"/>
  <c r="J24" i="13" s="1"/>
  <c r="J36" i="12"/>
  <c r="K36" i="12"/>
  <c r="L36" i="12" s="1"/>
  <c r="K20" i="11"/>
  <c r="J20" i="11"/>
  <c r="K13" i="12"/>
  <c r="H19" i="13"/>
  <c r="I19" i="13" s="1"/>
  <c r="J19" i="13" s="1"/>
  <c r="C19" i="13"/>
  <c r="H35" i="13"/>
  <c r="I35" i="13" s="1"/>
  <c r="J35" i="13" s="1"/>
  <c r="C35" i="13"/>
  <c r="K33" i="13"/>
  <c r="L33" i="13" s="1"/>
  <c r="J14" i="12"/>
  <c r="K14" i="12"/>
  <c r="K34" i="13"/>
  <c r="I8" i="13"/>
  <c r="K16" i="13"/>
  <c r="H28" i="13"/>
  <c r="I28" i="13" s="1"/>
  <c r="J28" i="13" s="1"/>
  <c r="C28" i="13"/>
  <c r="I19" i="12"/>
  <c r="J7" i="12"/>
  <c r="M7" i="12" s="1"/>
  <c r="K13" i="13"/>
  <c r="I10" i="13"/>
  <c r="K34" i="11"/>
  <c r="J34" i="11"/>
  <c r="L34" i="11" s="1"/>
  <c r="K9" i="13"/>
  <c r="K6" i="13"/>
  <c r="K16" i="11"/>
  <c r="J16" i="11"/>
  <c r="I20" i="12"/>
  <c r="I26" i="12"/>
  <c r="H7" i="13"/>
  <c r="I7" i="13" s="1"/>
  <c r="C7" i="13"/>
  <c r="J7" i="13" s="1"/>
  <c r="C23" i="13"/>
  <c r="H23" i="13"/>
  <c r="I23" i="13" s="1"/>
  <c r="J23" i="13" s="1"/>
  <c r="K36" i="13"/>
  <c r="K16" i="12"/>
  <c r="J16" i="12"/>
  <c r="L16" i="12" s="1"/>
  <c r="J8" i="12"/>
  <c r="H32" i="13"/>
  <c r="I32" i="13" s="1"/>
  <c r="J32" i="13" s="1"/>
  <c r="C32" i="13"/>
  <c r="K25" i="13"/>
  <c r="I26" i="13"/>
  <c r="J26" i="13" s="1"/>
  <c r="M11" i="11"/>
  <c r="J11" i="12"/>
  <c r="K29" i="13"/>
  <c r="J10" i="12"/>
  <c r="I30" i="13"/>
  <c r="J30" i="13" s="1"/>
  <c r="J6" i="12"/>
  <c r="L6" i="12" s="1"/>
  <c r="J28" i="11"/>
  <c r="K28" i="11"/>
  <c r="J30" i="12"/>
  <c r="K30" i="12"/>
  <c r="I17" i="12"/>
  <c r="J9" i="12"/>
  <c r="C11" i="13"/>
  <c r="H11" i="13"/>
  <c r="I11" i="13" s="1"/>
  <c r="H27" i="13"/>
  <c r="I27" i="13" s="1"/>
  <c r="J27" i="13" s="1"/>
  <c r="C27" i="13"/>
  <c r="I31" i="12"/>
  <c r="I22" i="13"/>
  <c r="J22" i="13" s="1"/>
  <c r="J6" i="11"/>
  <c r="I6" i="11"/>
  <c r="I33" i="12"/>
  <c r="J21" i="12"/>
  <c r="K21" i="12"/>
  <c r="I12" i="13"/>
  <c r="I20" i="13"/>
  <c r="J20" i="13" s="1"/>
  <c r="I32" i="12"/>
  <c r="I15" i="12"/>
  <c r="K27" i="11"/>
  <c r="J27" i="11"/>
  <c r="L7" i="11"/>
  <c r="L29" i="11"/>
  <c r="K26" i="10"/>
  <c r="J26" i="10"/>
  <c r="L11" i="10"/>
  <c r="M17" i="11"/>
  <c r="M29" i="10"/>
  <c r="J11" i="10"/>
  <c r="M12" i="11"/>
  <c r="M23" i="11"/>
  <c r="M33" i="11"/>
  <c r="M29" i="11"/>
  <c r="L10" i="10"/>
  <c r="M31" i="11"/>
  <c r="L23" i="11"/>
  <c r="L12" i="11"/>
  <c r="L11" i="11"/>
  <c r="M24" i="11"/>
  <c r="K32" i="10"/>
  <c r="J32" i="10"/>
  <c r="J18" i="10"/>
  <c r="K18" i="10"/>
  <c r="J31" i="10"/>
  <c r="K31" i="10"/>
  <c r="K36" i="10"/>
  <c r="J36" i="10"/>
  <c r="K28" i="10"/>
  <c r="J28" i="10"/>
  <c r="K23" i="10"/>
  <c r="J23" i="10"/>
  <c r="J24" i="10"/>
  <c r="K24" i="10"/>
  <c r="K17" i="10"/>
  <c r="J17" i="10"/>
  <c r="K25" i="10"/>
  <c r="J25" i="10"/>
  <c r="J33" i="10"/>
  <c r="K33" i="10"/>
  <c r="L33" i="10" s="1"/>
  <c r="J30" i="10"/>
  <c r="K30" i="10"/>
  <c r="K14" i="10"/>
  <c r="J14" i="10"/>
  <c r="M14" i="10" s="1"/>
  <c r="K7" i="10"/>
  <c r="K27" i="10"/>
  <c r="J27" i="10"/>
  <c r="J6" i="10"/>
  <c r="J8" i="10"/>
  <c r="J22" i="10"/>
  <c r="L22" i="10" s="1"/>
  <c r="M19" i="10"/>
  <c r="J21" i="10"/>
  <c r="K21" i="10"/>
  <c r="K6" i="10"/>
  <c r="L6" i="10"/>
  <c r="K8" i="10"/>
  <c r="J7" i="10"/>
  <c r="J15" i="10"/>
  <c r="K15" i="10"/>
  <c r="K35" i="10"/>
  <c r="J35" i="10"/>
  <c r="K20" i="10"/>
  <c r="J20" i="10"/>
  <c r="J9" i="10"/>
  <c r="I9" i="10"/>
  <c r="K34" i="10"/>
  <c r="J34" i="10"/>
  <c r="J12" i="10"/>
  <c r="M12" i="10" s="1"/>
  <c r="K13" i="10"/>
  <c r="L13" i="10" s="1"/>
  <c r="J16" i="10"/>
  <c r="L16" i="10" s="1"/>
  <c r="K16" i="10"/>
  <c r="M11" i="10"/>
  <c r="M33" i="10"/>
  <c r="L19" i="10"/>
  <c r="L12" i="10"/>
  <c r="J11" i="13" l="1"/>
  <c r="L11" i="13" s="1"/>
  <c r="L22" i="12"/>
  <c r="M18" i="11"/>
  <c r="M22" i="11"/>
  <c r="M26" i="11"/>
  <c r="L30" i="11"/>
  <c r="M22" i="10"/>
  <c r="L24" i="10"/>
  <c r="M23" i="10"/>
  <c r="L31" i="10"/>
  <c r="M9" i="12"/>
  <c r="M9" i="13"/>
  <c r="L22" i="11"/>
  <c r="L25" i="11"/>
  <c r="M6" i="12"/>
  <c r="M16" i="11"/>
  <c r="J35" i="12"/>
  <c r="L35" i="12" s="1"/>
  <c r="L19" i="11"/>
  <c r="L13" i="13"/>
  <c r="L27" i="12"/>
  <c r="L6" i="13"/>
  <c r="M8" i="12"/>
  <c r="L29" i="13"/>
  <c r="L34" i="12"/>
  <c r="L34" i="13"/>
  <c r="L25" i="13"/>
  <c r="M21" i="11"/>
  <c r="M10" i="12"/>
  <c r="L36" i="13"/>
  <c r="L23" i="12"/>
  <c r="M34" i="12"/>
  <c r="L24" i="12"/>
  <c r="L18" i="11"/>
  <c r="L21" i="12"/>
  <c r="M11" i="12"/>
  <c r="M16" i="12"/>
  <c r="M14" i="12"/>
  <c r="L13" i="12"/>
  <c r="M22" i="12"/>
  <c r="M28" i="12"/>
  <c r="L36" i="11"/>
  <c r="M27" i="12"/>
  <c r="M34" i="11"/>
  <c r="M20" i="11"/>
  <c r="K27" i="13"/>
  <c r="L28" i="11"/>
  <c r="M28" i="11"/>
  <c r="L35" i="10"/>
  <c r="M27" i="10"/>
  <c r="M24" i="10"/>
  <c r="M28" i="10"/>
  <c r="M36" i="10"/>
  <c r="L18" i="10"/>
  <c r="M32" i="10"/>
  <c r="M32" i="11"/>
  <c r="M26" i="10"/>
  <c r="J15" i="12"/>
  <c r="K15" i="12"/>
  <c r="K6" i="11"/>
  <c r="M6" i="11" s="1"/>
  <c r="K30" i="13"/>
  <c r="M29" i="13"/>
  <c r="M25" i="13"/>
  <c r="K20" i="12"/>
  <c r="J20" i="12"/>
  <c r="L20" i="12" s="1"/>
  <c r="L9" i="13"/>
  <c r="K10" i="13"/>
  <c r="L10" i="13" s="1"/>
  <c r="K19" i="12"/>
  <c r="J19" i="12"/>
  <c r="M16" i="13"/>
  <c r="M13" i="13"/>
  <c r="M12" i="12"/>
  <c r="L12" i="12"/>
  <c r="L18" i="12"/>
  <c r="L7" i="12"/>
  <c r="L28" i="12"/>
  <c r="J17" i="12"/>
  <c r="K17" i="12"/>
  <c r="K26" i="13"/>
  <c r="K35" i="13"/>
  <c r="K24" i="13"/>
  <c r="M24" i="13"/>
  <c r="K21" i="13"/>
  <c r="K15" i="13"/>
  <c r="M9" i="11"/>
  <c r="L9" i="11"/>
  <c r="L10" i="12"/>
  <c r="L27" i="11"/>
  <c r="M27" i="11"/>
  <c r="K20" i="13"/>
  <c r="M21" i="12"/>
  <c r="K22" i="13"/>
  <c r="K11" i="13"/>
  <c r="M6" i="13"/>
  <c r="K32" i="13"/>
  <c r="M36" i="13"/>
  <c r="K7" i="13"/>
  <c r="M7" i="13" s="1"/>
  <c r="K28" i="13"/>
  <c r="K8" i="13"/>
  <c r="L8" i="13" s="1"/>
  <c r="M34" i="13"/>
  <c r="M36" i="12"/>
  <c r="K31" i="13"/>
  <c r="M13" i="12"/>
  <c r="K18" i="13"/>
  <c r="L11" i="12"/>
  <c r="J32" i="12"/>
  <c r="K32" i="12"/>
  <c r="M36" i="11"/>
  <c r="K12" i="13"/>
  <c r="L12" i="13" s="1"/>
  <c r="J33" i="12"/>
  <c r="K33" i="12"/>
  <c r="J31" i="12"/>
  <c r="K31" i="12"/>
  <c r="L30" i="12"/>
  <c r="M30" i="12"/>
  <c r="K23" i="13"/>
  <c r="J26" i="12"/>
  <c r="K26" i="12"/>
  <c r="K14" i="13"/>
  <c r="L16" i="13"/>
  <c r="L13" i="11"/>
  <c r="L14" i="12"/>
  <c r="M33" i="13"/>
  <c r="K19" i="13"/>
  <c r="L20" i="11"/>
  <c r="K8" i="11"/>
  <c r="M8" i="11" s="1"/>
  <c r="L35" i="11"/>
  <c r="M35" i="11"/>
  <c r="M29" i="12"/>
  <c r="L17" i="13"/>
  <c r="L9" i="12"/>
  <c r="L16" i="11"/>
  <c r="L8" i="12"/>
  <c r="L25" i="12"/>
  <c r="M25" i="12"/>
  <c r="M16" i="10"/>
  <c r="L17" i="10"/>
  <c r="L14" i="10"/>
  <c r="M34" i="10"/>
  <c r="M8" i="10"/>
  <c r="L30" i="10"/>
  <c r="M25" i="10"/>
  <c r="M13" i="10"/>
  <c r="M18" i="10"/>
  <c r="L26" i="10"/>
  <c r="L20" i="10"/>
  <c r="M20" i="10"/>
  <c r="L25" i="10"/>
  <c r="L23" i="10"/>
  <c r="K9" i="10"/>
  <c r="L9" i="10" s="1"/>
  <c r="M35" i="10"/>
  <c r="M15" i="10"/>
  <c r="L15" i="10"/>
  <c r="L8" i="10"/>
  <c r="L27" i="10"/>
  <c r="L32" i="10"/>
  <c r="L36" i="10"/>
  <c r="M21" i="10"/>
  <c r="L21" i="10"/>
  <c r="M30" i="10"/>
  <c r="L34" i="10"/>
  <c r="M7" i="10"/>
  <c r="M6" i="10"/>
  <c r="L7" i="10"/>
  <c r="M17" i="10"/>
  <c r="L28" i="10"/>
  <c r="M31" i="10"/>
  <c r="M35" i="12" l="1"/>
  <c r="M9" i="10"/>
  <c r="M10" i="13"/>
  <c r="L21" i="13"/>
  <c r="L35" i="13"/>
  <c r="M17" i="12"/>
  <c r="M23" i="13"/>
  <c r="M15" i="13"/>
  <c r="M26" i="12"/>
  <c r="L31" i="12"/>
  <c r="L32" i="13"/>
  <c r="L23" i="13"/>
  <c r="M19" i="12"/>
  <c r="L27" i="13"/>
  <c r="L26" i="12"/>
  <c r="L18" i="13"/>
  <c r="M8" i="13"/>
  <c r="L19" i="13"/>
  <c r="M33" i="12"/>
  <c r="L32" i="12"/>
  <c r="L17" i="12"/>
  <c r="M30" i="13"/>
  <c r="L15" i="12"/>
  <c r="M12" i="13"/>
  <c r="M31" i="13"/>
  <c r="L7" i="13"/>
  <c r="L24" i="13"/>
  <c r="L6" i="11"/>
  <c r="M14" i="13"/>
  <c r="L31" i="13"/>
  <c r="M28" i="13"/>
  <c r="M22" i="13"/>
  <c r="L20" i="13"/>
  <c r="M20" i="13"/>
  <c r="M26" i="13"/>
  <c r="L19" i="12"/>
  <c r="M15" i="12"/>
  <c r="M32" i="12"/>
  <c r="M35" i="13"/>
  <c r="M19" i="13"/>
  <c r="M31" i="12"/>
  <c r="M18" i="13"/>
  <c r="L8" i="11"/>
  <c r="L14" i="13"/>
  <c r="M11" i="13"/>
  <c r="L33" i="12"/>
  <c r="L28" i="13"/>
  <c r="M32" i="13"/>
  <c r="L22" i="13"/>
  <c r="L15" i="13"/>
  <c r="M21" i="13"/>
  <c r="L26" i="13"/>
  <c r="M20" i="12"/>
  <c r="L30" i="13"/>
  <c r="M27" i="13"/>
</calcChain>
</file>

<file path=xl/sharedStrings.xml><?xml version="1.0" encoding="utf-8"?>
<sst xmlns="http://schemas.openxmlformats.org/spreadsheetml/2006/main" count="728" uniqueCount="196">
  <si>
    <t>EP7</t>
  </si>
  <si>
    <t>EP6</t>
  </si>
  <si>
    <t>EP5</t>
  </si>
  <si>
    <t>EP4</t>
  </si>
  <si>
    <t>EP3</t>
  </si>
  <si>
    <t>EP2</t>
  </si>
  <si>
    <t>EP1</t>
  </si>
  <si>
    <t>D7</t>
  </si>
  <si>
    <t>D6</t>
  </si>
  <si>
    <t>D5</t>
  </si>
  <si>
    <t>D4</t>
  </si>
  <si>
    <t>D3</t>
  </si>
  <si>
    <t>D2</t>
  </si>
  <si>
    <t>D1</t>
  </si>
  <si>
    <t>C7</t>
  </si>
  <si>
    <t>C6</t>
  </si>
  <si>
    <t>C5</t>
  </si>
  <si>
    <t>C4</t>
  </si>
  <si>
    <t>C3</t>
  </si>
  <si>
    <t>C2</t>
  </si>
  <si>
    <t>C1</t>
  </si>
  <si>
    <t>B6</t>
  </si>
  <si>
    <t>B5</t>
  </si>
  <si>
    <t>B4</t>
  </si>
  <si>
    <t>B3</t>
  </si>
  <si>
    <t>B2</t>
  </si>
  <si>
    <t>B1</t>
  </si>
  <si>
    <t>Pos. Econ.</t>
  </si>
  <si>
    <t>Posizione economica</t>
  </si>
  <si>
    <t>Valori in Euro per 12 mensilit à cui aggiungere la 13^ mensilità</t>
  </si>
  <si>
    <t>CEL</t>
  </si>
  <si>
    <t>B7</t>
  </si>
  <si>
    <t>Totale assegni fissi</t>
  </si>
  <si>
    <t>Stipendi senza IIS</t>
  </si>
  <si>
    <t>13.ma stipendiale</t>
  </si>
  <si>
    <t>IIS * 12 mens.</t>
  </si>
  <si>
    <t>Retribuzione di posizione base 
*13 mens</t>
  </si>
  <si>
    <t xml:space="preserve">Oneri </t>
  </si>
  <si>
    <t>IRAP</t>
  </si>
  <si>
    <t>Costo Totale
Lordo Amm.ne</t>
  </si>
  <si>
    <t>Totale Oneri</t>
  </si>
  <si>
    <t>Elemento Perequativo</t>
  </si>
  <si>
    <t>Indennità di Ateneo * 12 mes</t>
  </si>
  <si>
    <t>EP8</t>
  </si>
  <si>
    <t>D8</t>
  </si>
  <si>
    <t>C8</t>
  </si>
  <si>
    <t>Retribuzione tabellare annua (tab. C2)
Lordo dip.</t>
  </si>
  <si>
    <t>Tabella B2 - UNIVERSITA'</t>
  </si>
  <si>
    <t>D</t>
  </si>
  <si>
    <t>B</t>
  </si>
  <si>
    <r>
      <rPr>
        <b/>
        <sz val="10"/>
        <color indexed="8"/>
        <rFont val="Arial"/>
        <family val="2"/>
      </rPr>
      <t>EP8</t>
    </r>
  </si>
  <si>
    <r>
      <rPr>
        <b/>
        <sz val="10"/>
        <color indexed="8"/>
        <rFont val="Arial"/>
        <family val="2"/>
      </rPr>
      <t>EP7</t>
    </r>
  </si>
  <si>
    <r>
      <rPr>
        <b/>
        <sz val="10"/>
        <color indexed="8"/>
        <rFont val="Arial"/>
        <family val="2"/>
      </rPr>
      <t>EP6</t>
    </r>
  </si>
  <si>
    <r>
      <rPr>
        <b/>
        <sz val="10"/>
        <color indexed="8"/>
        <rFont val="Arial"/>
        <family val="2"/>
      </rPr>
      <t>EP5</t>
    </r>
  </si>
  <si>
    <r>
      <rPr>
        <b/>
        <sz val="10"/>
        <color indexed="8"/>
        <rFont val="Arial"/>
        <family val="2"/>
      </rPr>
      <t>EP4</t>
    </r>
  </si>
  <si>
    <r>
      <rPr>
        <b/>
        <sz val="10"/>
        <color indexed="8"/>
        <rFont val="Arial"/>
        <family val="2"/>
      </rPr>
      <t>EP3</t>
    </r>
  </si>
  <si>
    <r>
      <rPr>
        <b/>
        <sz val="10"/>
        <color indexed="8"/>
        <rFont val="Arial"/>
        <family val="2"/>
      </rPr>
      <t>EP2</t>
    </r>
  </si>
  <si>
    <r>
      <rPr>
        <b/>
        <sz val="10"/>
        <color indexed="8"/>
        <rFont val="Arial"/>
        <family val="2"/>
      </rPr>
      <t>EP1</t>
    </r>
  </si>
  <si>
    <r>
      <rPr>
        <b/>
        <sz val="10"/>
        <color indexed="8"/>
        <rFont val="Arial"/>
        <family val="2"/>
      </rPr>
      <t>D8</t>
    </r>
  </si>
  <si>
    <r>
      <rPr>
        <b/>
        <sz val="10"/>
        <color indexed="8"/>
        <rFont val="Arial"/>
        <family val="2"/>
      </rPr>
      <t>D7</t>
    </r>
  </si>
  <si>
    <r>
      <rPr>
        <b/>
        <sz val="10"/>
        <color indexed="8"/>
        <rFont val="Arial"/>
        <family val="2"/>
      </rPr>
      <t>D6</t>
    </r>
  </si>
  <si>
    <r>
      <rPr>
        <b/>
        <sz val="10"/>
        <color indexed="8"/>
        <rFont val="Arial"/>
        <family val="2"/>
      </rPr>
      <t>D5</t>
    </r>
  </si>
  <si>
    <r>
      <rPr>
        <b/>
        <sz val="10"/>
        <color indexed="8"/>
        <rFont val="Arial"/>
        <family val="2"/>
      </rPr>
      <t>D4</t>
    </r>
  </si>
  <si>
    <r>
      <rPr>
        <b/>
        <sz val="10"/>
        <color indexed="8"/>
        <rFont val="Arial"/>
        <family val="2"/>
      </rPr>
      <t>D3</t>
    </r>
  </si>
  <si>
    <r>
      <rPr>
        <b/>
        <sz val="10"/>
        <color indexed="8"/>
        <rFont val="Arial"/>
        <family val="2"/>
      </rPr>
      <t>D2</t>
    </r>
  </si>
  <si>
    <r>
      <rPr>
        <b/>
        <sz val="10"/>
        <color indexed="8"/>
        <rFont val="Arial"/>
        <family val="2"/>
      </rPr>
      <t>D1</t>
    </r>
  </si>
  <si>
    <r>
      <rPr>
        <b/>
        <sz val="10"/>
        <color indexed="8"/>
        <rFont val="Arial"/>
        <family val="2"/>
      </rPr>
      <t>C8</t>
    </r>
  </si>
  <si>
    <r>
      <rPr>
        <b/>
        <sz val="10"/>
        <color indexed="8"/>
        <rFont val="Arial"/>
        <family val="2"/>
      </rPr>
      <t>C7</t>
    </r>
  </si>
  <si>
    <r>
      <rPr>
        <b/>
        <sz val="10"/>
        <color indexed="8"/>
        <rFont val="Arial"/>
        <family val="2"/>
      </rPr>
      <t>C6</t>
    </r>
  </si>
  <si>
    <r>
      <rPr>
        <b/>
        <sz val="10"/>
        <color indexed="8"/>
        <rFont val="Arial"/>
        <family val="2"/>
      </rPr>
      <t>C5</t>
    </r>
  </si>
  <si>
    <r>
      <rPr>
        <b/>
        <sz val="10"/>
        <color indexed="8"/>
        <rFont val="Arial"/>
        <family val="2"/>
      </rPr>
      <t>C4</t>
    </r>
  </si>
  <si>
    <r>
      <rPr>
        <b/>
        <sz val="10"/>
        <color indexed="8"/>
        <rFont val="Arial"/>
        <family val="2"/>
      </rPr>
      <t>C3</t>
    </r>
  </si>
  <si>
    <r>
      <rPr>
        <b/>
        <sz val="10"/>
        <color indexed="8"/>
        <rFont val="Arial"/>
        <family val="2"/>
      </rPr>
      <t>C2</t>
    </r>
  </si>
  <si>
    <r>
      <rPr>
        <b/>
        <sz val="10"/>
        <color indexed="8"/>
        <rFont val="Arial"/>
        <family val="2"/>
      </rPr>
      <t>C1</t>
    </r>
  </si>
  <si>
    <r>
      <rPr>
        <b/>
        <sz val="10"/>
        <color indexed="8"/>
        <rFont val="Arial"/>
        <family val="2"/>
      </rPr>
      <t>Conglobamento dell'IVC decorrenza 2010 nello stipendio tabellare</t>
    </r>
  </si>
  <si>
    <t>Dal 1.1.2019</t>
  </si>
  <si>
    <t>Dal 1.1.2020</t>
  </si>
  <si>
    <t>Dal 1.1.2021</t>
  </si>
  <si>
    <t xml:space="preserve">Elemento perequativo dal 1.1.2019 (1) </t>
  </si>
  <si>
    <t>EP</t>
  </si>
  <si>
    <t>Tabella C2 - UNIVERSITA'</t>
  </si>
  <si>
    <t xml:space="preserve">(1) I valori dell'elemento perequativo conglobati nello stipendio tabellare sono stati calcolati al netto dei maggiori oneri per gli enti derivanti dalla loro inclusione nello stipendio tabellare. A seguito del conglobamento, l'elemento perequativo cessa di essere corrisposto. </t>
  </si>
  <si>
    <t>(2) Valori decorrenti dal primo giorno del secondo mese successivo a quello di sottoscrizione del CCNL.</t>
  </si>
  <si>
    <t>Tabella D2 - UNIVERSITA'</t>
  </si>
  <si>
    <t>Posizioni economiche</t>
  </si>
  <si>
    <t>C</t>
  </si>
  <si>
    <t>Indennità di Ateneo</t>
  </si>
  <si>
    <t>MEF</t>
  </si>
  <si>
    <t>CCNL 05/12/2022</t>
  </si>
  <si>
    <t>Cat</t>
  </si>
  <si>
    <t>Vecchia Indennità di Ateneo</t>
  </si>
  <si>
    <t>Nuova Ind. di Ateneo</t>
  </si>
  <si>
    <r>
      <t>Elemento perequativo</t>
    </r>
    <r>
      <rPr>
        <i/>
        <u/>
        <sz val="10"/>
        <color rgb="FF000000"/>
        <rFont val="Times New Roman"/>
        <family val="1"/>
      </rPr>
      <t xml:space="preserve"> Non Conglobato</t>
    </r>
  </si>
  <si>
    <t>COSTO DEL PERSONALE CON I.V.C dal 01/01/2022  al 31/03/2022</t>
  </si>
  <si>
    <t>IVC da aprile a giugno 2022</t>
  </si>
  <si>
    <t>COSTO DEL PERSONALE CON I.V.C dal 01/04/2022  al 30/06/2022</t>
  </si>
  <si>
    <t>Retribuzione tabellare con EP conglobato (2)</t>
  </si>
  <si>
    <t>IVC da luglio 2022 al 31 gennaio 2023</t>
  </si>
  <si>
    <t>IVC da 1° febbraio 2023</t>
  </si>
  <si>
    <t>Importi per 12 mensilità</t>
  </si>
  <si>
    <t>Emolumento accessorio una tantum 2023</t>
  </si>
  <si>
    <t>Emolumento accessorio una tantim 2023</t>
  </si>
  <si>
    <t>La Legge 29 dicembre 2022, n. 197 (Legge di Bilancio 2023) all’articolo 1, comma 330, prevede che “per l'anno 2023, gli oneri posti a carico del bilancio statale per la contrattazione collettiva nazionale in applicazione dell'articolo 48, comma 1, del decreto legislativo 30 marzo 2001, n.165, e per i miglioramenti economici del personale statale in regime di diritto pubblico di cui all'articolo 1, comma 609, della legge 30 dicembre 2021, n. 234, sono incrementati di 1.000 milioni di euro da destinare all'erogazione, nel solo anno 2023, di un emolumento accessorio una tantum, da corrispondere per tredici mensilità, da determinarsi nella misura dell'1,5 per cento dello stipendio con effetti ai soli fini del trattamento di quiescenza”.</t>
  </si>
  <si>
    <t>UNIVERSITA'</t>
  </si>
  <si>
    <t>Qualifica</t>
  </si>
  <si>
    <t>Cod</t>
  </si>
  <si>
    <t>UNA TANTUM MENSILE dal 1° – al 31 gennaio 2023</t>
  </si>
  <si>
    <t>UNA TANTUM MENSILE dal 1° febbraio 2023 (*)</t>
  </si>
  <si>
    <t>Dirigente II Fascia</t>
  </si>
  <si>
    <t>DIR</t>
  </si>
  <si>
    <t>Dirigente II Fascia a tempo determinato</t>
  </si>
  <si>
    <t>Professore Incaricato Esterno</t>
  </si>
  <si>
    <t>PIE</t>
  </si>
  <si>
    <t>Professore Incaricato Interno</t>
  </si>
  <si>
    <t>PII</t>
  </si>
  <si>
    <t xml:space="preserve">Collaboratore ed esperto linguistico (CEL </t>
  </si>
  <si>
    <t>(CEL)</t>
  </si>
  <si>
    <t>Posizione economica EP8</t>
  </si>
  <si>
    <t>Posizione economica EP7</t>
  </si>
  <si>
    <t>Posizione economica EP6</t>
  </si>
  <si>
    <t>Posizione economica EP5</t>
  </si>
  <si>
    <t>Posizione economica EP4</t>
  </si>
  <si>
    <t>Posizione economica EP3</t>
  </si>
  <si>
    <t>Posizione economica EP2</t>
  </si>
  <si>
    <t>Posizione economica EP1</t>
  </si>
  <si>
    <t>Posizione economica D8</t>
  </si>
  <si>
    <t>Posizione economica D7</t>
  </si>
  <si>
    <t>Posizione economica D6</t>
  </si>
  <si>
    <t>Posizione economica D5</t>
  </si>
  <si>
    <t>Posizione economica D4</t>
  </si>
  <si>
    <t>Posizione economica D3</t>
  </si>
  <si>
    <t>Posizione economica D2</t>
  </si>
  <si>
    <t>Posizione economica D1</t>
  </si>
  <si>
    <t>Posizione economica C8</t>
  </si>
  <si>
    <t>Posizione economica C7</t>
  </si>
  <si>
    <t>Posizione economica C6</t>
  </si>
  <si>
    <t>Posizione economica C5</t>
  </si>
  <si>
    <t>Posizione economica C4</t>
  </si>
  <si>
    <t>Posizione economica C3</t>
  </si>
  <si>
    <t>Posizione economica C2</t>
  </si>
  <si>
    <t>Posizione economica C1</t>
  </si>
  <si>
    <t>Posizione economica B7</t>
  </si>
  <si>
    <t>Posizione economica B6</t>
  </si>
  <si>
    <t>Posizione economica B5</t>
  </si>
  <si>
    <t>Posizione economica B4</t>
  </si>
  <si>
    <t>Posizione economica B3</t>
  </si>
  <si>
    <t>Posizione economica B2</t>
  </si>
  <si>
    <t>Posizione economica B1</t>
  </si>
  <si>
    <t>(*) gli importi sono rideterminati sulla base degli stipendi tabellari comprensivi dell' elemento perequativo conglobato dal primo giorno del secondo mese successivo alla data di sottoscrizione del CCNL (art. 6, c. 4, CCNL 2019-2021</t>
  </si>
  <si>
    <t>COSTO DEL PERSONALE CON I.V.C dal 01/07/2022 al 31/12/2022</t>
  </si>
  <si>
    <t>COSTO DEL PERSONALE CON I.V.C gennaio 2023</t>
  </si>
  <si>
    <t xml:space="preserve">COSTO DEL PERSONALE CON I.V.C dal febbraio a dicembe 2023 </t>
  </si>
  <si>
    <t>CCNL 18/01/2024</t>
  </si>
  <si>
    <t>COSTO DEL PERSONALE CON I.V.C dal 01/01/2024 al 30/04/2024</t>
  </si>
  <si>
    <t>IVC 2024</t>
  </si>
  <si>
    <t>13ma su stipendio e IVC</t>
  </si>
  <si>
    <t>Area</t>
  </si>
  <si>
    <t>Retribuzione tabellare annua
Lordo dip.</t>
  </si>
  <si>
    <t>Differenziali</t>
  </si>
  <si>
    <t>Assegno per Ind. di ateneo</t>
  </si>
  <si>
    <t>13ma su stipendio base</t>
  </si>
  <si>
    <t>13ma su Differenzaili e IVC</t>
  </si>
  <si>
    <t>Elevate Professionalità</t>
  </si>
  <si>
    <t>Ex EP8</t>
  </si>
  <si>
    <t>Ex EP7</t>
  </si>
  <si>
    <t>Ex EP6</t>
  </si>
  <si>
    <t>Ex EP5</t>
  </si>
  <si>
    <t>Ex EP4</t>
  </si>
  <si>
    <t>Ex EP3</t>
  </si>
  <si>
    <t>Ex EP2</t>
  </si>
  <si>
    <t>Ex EP1</t>
  </si>
  <si>
    <t>Funzionari</t>
  </si>
  <si>
    <t>Ex D8</t>
  </si>
  <si>
    <t>Ex D7</t>
  </si>
  <si>
    <t>Ex D6</t>
  </si>
  <si>
    <t>Ex D5</t>
  </si>
  <si>
    <t>Ex D4</t>
  </si>
  <si>
    <t>Ex D3</t>
  </si>
  <si>
    <t>Ex D2</t>
  </si>
  <si>
    <t>Ex D1</t>
  </si>
  <si>
    <t>Collaboratori</t>
  </si>
  <si>
    <t>Ex C8</t>
  </si>
  <si>
    <t>Ex C7</t>
  </si>
  <si>
    <t>Ex C6</t>
  </si>
  <si>
    <t>Ex C5</t>
  </si>
  <si>
    <t>Ex C4</t>
  </si>
  <si>
    <t>Ex C3</t>
  </si>
  <si>
    <t>Ex C1 e Ex C2</t>
  </si>
  <si>
    <t>Operatori</t>
  </si>
  <si>
    <t>Ex B7</t>
  </si>
  <si>
    <t>Ex B6</t>
  </si>
  <si>
    <t>Ex B5</t>
  </si>
  <si>
    <t>Ex B4</t>
  </si>
  <si>
    <t>Ex B1, ex B2 e Ex B3</t>
  </si>
  <si>
    <t>COSTO DEL PERSONALE CON I.V.C dal 01/05/2024  a 31/12/2024</t>
  </si>
  <si>
    <t>COSTO DEL PERSONALE CON I.V.C dal 01/05/2024 a 31/12/2024 - Neoassunti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</si>
</sst>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25" x14ac:knownFonts="1">
    <font>
      <sz val="10"/>
      <name val="Arial"/>
    </font>
    <font>
      <sz val="11"/>
      <color theme="1"/>
      <name val="Calibri"/>
      <family val="2"/>
      <scheme val="minor"/>
    </font>
    <font>
      <b/>
      <sz val="10"/>
      <name val="Arial"/>
      <family val="2"/>
    </font>
    <font>
      <b/>
      <sz val="12"/>
      <name val="Arial"/>
      <family val="2"/>
    </font>
    <font>
      <b/>
      <sz val="14"/>
      <color indexed="8"/>
      <name val="Times New Roman"/>
      <family val="1"/>
    </font>
    <font>
      <sz val="10"/>
      <name val="Arial"/>
      <family val="2"/>
    </font>
    <font>
      <b/>
      <i/>
      <sz val="14"/>
      <name val="Arial"/>
      <family val="2"/>
    </font>
    <font>
      <b/>
      <sz val="7"/>
      <color rgb="FF010202"/>
      <name val="Times New Roman"/>
      <family val="1"/>
    </font>
    <font>
      <i/>
      <sz val="10"/>
      <color rgb="FF000000"/>
      <name val="Times New Roman"/>
      <family val="1"/>
    </font>
    <font>
      <b/>
      <sz val="10"/>
      <color rgb="FFFF0000"/>
      <name val="Arial"/>
      <family val="2"/>
    </font>
    <font>
      <b/>
      <sz val="10"/>
      <color indexed="8"/>
      <name val="Arial"/>
      <family val="2"/>
    </font>
    <font>
      <b/>
      <sz val="10"/>
      <color rgb="FF010202"/>
      <name val="Arial"/>
      <family val="2"/>
    </font>
    <font>
      <i/>
      <u/>
      <sz val="10"/>
      <color rgb="FF000000"/>
      <name val="Times New Roman"/>
      <family val="1"/>
    </font>
    <font>
      <sz val="10"/>
      <name val="Arial"/>
      <family val="2"/>
    </font>
    <font>
      <sz val="10"/>
      <color theme="1"/>
      <name val="Arial"/>
      <family val="2"/>
    </font>
    <font>
      <b/>
      <sz val="12"/>
      <color theme="1"/>
      <name val="Arial"/>
      <family val="2"/>
    </font>
    <font>
      <sz val="12"/>
      <color theme="1"/>
      <name val="Arial"/>
      <family val="2"/>
    </font>
    <font>
      <sz val="9"/>
      <color rgb="FF1A1A1A"/>
      <name val="Arial"/>
      <family val="2"/>
    </font>
    <font>
      <b/>
      <sz val="10"/>
      <color theme="1"/>
      <name val="Arial"/>
      <family val="2"/>
    </font>
    <font>
      <sz val="11"/>
      <color theme="1"/>
      <name val="Arial"/>
      <family val="2"/>
    </font>
    <font>
      <i/>
      <sz val="10"/>
      <color theme="1"/>
      <name val="Arial"/>
      <family val="2"/>
    </font>
    <font>
      <i/>
      <sz val="11"/>
      <color theme="1"/>
      <name val="Arial"/>
      <family val="2"/>
    </font>
    <font>
      <sz val="8"/>
      <color theme="1"/>
      <name val="Arial"/>
      <family val="2"/>
    </font>
    <font>
      <i/>
      <sz val="10"/>
      <name val="Arial"/>
      <family val="2"/>
    </font>
    <font>
      <sz val="10"/>
      <color theme="1"/>
      <name val="Arial"/>
    </font>
  </fonts>
  <fills count="8">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5" fillId="0" borderId="0"/>
    <xf numFmtId="43" fontId="13" fillId="0" borderId="0" applyFont="0" applyFill="0" applyBorder="0" applyAlignment="0" applyProtection="0"/>
    <xf numFmtId="0" fontId="1" fillId="0" borderId="0"/>
  </cellStyleXfs>
  <cellXfs count="300">
    <xf numFmtId="0" fontId="0" fillId="0" borderId="0" xfId="0"/>
    <xf numFmtId="0" fontId="8" fillId="2" borderId="1" xfId="0" applyFont="1" applyFill="1" applyBorder="1" applyAlignment="1">
      <alignment horizontal="center" vertical="center" wrapText="1"/>
    </xf>
    <xf numFmtId="4" fontId="6" fillId="0" borderId="0" xfId="0" applyNumberFormat="1" applyFont="1" applyAlignment="1">
      <alignment vertical="center"/>
    </xf>
    <xf numFmtId="4" fontId="0" fillId="0" borderId="2" xfId="0" applyNumberFormat="1" applyBorder="1" applyAlignment="1">
      <alignment vertical="center"/>
    </xf>
    <xf numFmtId="4" fontId="0" fillId="0" borderId="1" xfId="0" applyNumberFormat="1" applyBorder="1" applyAlignment="1">
      <alignment vertical="center"/>
    </xf>
    <xf numFmtId="4" fontId="0" fillId="0" borderId="3" xfId="0" applyNumberFormat="1" applyBorder="1" applyAlignment="1">
      <alignment vertical="center"/>
    </xf>
    <xf numFmtId="4" fontId="0" fillId="0" borderId="0" xfId="0" applyNumberFormat="1" applyAlignment="1">
      <alignment vertical="center"/>
    </xf>
    <xf numFmtId="4" fontId="5" fillId="0" borderId="4" xfId="0" applyNumberFormat="1" applyFont="1" applyBorder="1" applyAlignment="1">
      <alignment horizontal="center" vertical="center" wrapText="1"/>
    </xf>
    <xf numFmtId="4" fontId="3" fillId="0" borderId="0" xfId="0" applyNumberFormat="1" applyFont="1" applyAlignment="1">
      <alignment vertical="center"/>
    </xf>
    <xf numFmtId="0" fontId="0" fillId="0" borderId="0" xfId="0" applyAlignment="1">
      <alignment vertical="center"/>
    </xf>
    <xf numFmtId="4" fontId="2" fillId="0" borderId="0" xfId="0" applyNumberFormat="1" applyFont="1" applyAlignment="1">
      <alignment vertical="center"/>
    </xf>
    <xf numFmtId="4" fontId="0" fillId="0" borderId="0" xfId="0" applyNumberFormat="1" applyAlignment="1">
      <alignment vertical="center" wrapText="1"/>
    </xf>
    <xf numFmtId="4" fontId="0" fillId="0" borderId="5" xfId="0" applyNumberFormat="1" applyBorder="1" applyAlignment="1">
      <alignment horizontal="center" vertical="center" wrapText="1"/>
    </xf>
    <xf numFmtId="4" fontId="5" fillId="0" borderId="9" xfId="0" applyNumberFormat="1" applyFont="1" applyBorder="1" applyAlignment="1">
      <alignment horizontal="center" vertical="center" wrapText="1"/>
    </xf>
    <xf numFmtId="0" fontId="0" fillId="0" borderId="0" xfId="0" applyAlignment="1">
      <alignment horizontal="center" vertical="center"/>
    </xf>
    <xf numFmtId="4" fontId="0" fillId="0" borderId="6" xfId="0" applyNumberFormat="1" applyBorder="1" applyAlignment="1">
      <alignment vertical="center"/>
    </xf>
    <xf numFmtId="4" fontId="0" fillId="0" borderId="7" xfId="0" applyNumberFormat="1" applyBorder="1" applyAlignment="1">
      <alignment vertical="center"/>
    </xf>
    <xf numFmtId="4" fontId="0" fillId="0" borderId="8" xfId="0" applyNumberFormat="1" applyBorder="1" applyAlignment="1">
      <alignment vertical="center"/>
    </xf>
    <xf numFmtId="4" fontId="9" fillId="0" borderId="0" xfId="0" applyNumberFormat="1" applyFont="1" applyAlignment="1">
      <alignment vertical="center"/>
    </xf>
    <xf numFmtId="4" fontId="0" fillId="0" borderId="10" xfId="0" applyNumberFormat="1" applyBorder="1" applyAlignment="1">
      <alignment vertical="center"/>
    </xf>
    <xf numFmtId="4" fontId="0" fillId="0" borderId="11" xfId="0" applyNumberFormat="1" applyBorder="1" applyAlignment="1">
      <alignment vertical="center"/>
    </xf>
    <xf numFmtId="4" fontId="0" fillId="0" borderId="12" xfId="0" applyNumberFormat="1" applyBorder="1" applyAlignment="1">
      <alignment vertical="center"/>
    </xf>
    <xf numFmtId="4" fontId="0" fillId="0" borderId="13" xfId="0" applyNumberFormat="1" applyBorder="1" applyAlignment="1">
      <alignment vertical="center"/>
    </xf>
    <xf numFmtId="4" fontId="0" fillId="0" borderId="14" xfId="0" applyNumberFormat="1" applyBorder="1" applyAlignment="1">
      <alignment vertical="center"/>
    </xf>
    <xf numFmtId="4" fontId="0" fillId="0" borderId="15" xfId="0" applyNumberFormat="1" applyBorder="1" applyAlignment="1">
      <alignment vertical="center"/>
    </xf>
    <xf numFmtId="4" fontId="0" fillId="0" borderId="0" xfId="0" applyNumberFormat="1" applyAlignment="1">
      <alignment horizontal="center" vertical="center" wrapText="1"/>
    </xf>
    <xf numFmtId="4" fontId="5" fillId="0" borderId="16" xfId="0" applyNumberFormat="1" applyFont="1" applyBorder="1" applyAlignment="1">
      <alignment vertical="center"/>
    </xf>
    <xf numFmtId="4" fontId="5" fillId="0" borderId="17" xfId="0" applyNumberFormat="1" applyFont="1" applyBorder="1" applyAlignment="1">
      <alignment vertical="center"/>
    </xf>
    <xf numFmtId="4" fontId="0" fillId="0" borderId="17" xfId="0" applyNumberFormat="1" applyBorder="1" applyAlignment="1">
      <alignment vertical="center"/>
    </xf>
    <xf numFmtId="4" fontId="0" fillId="0" borderId="18" xfId="0" applyNumberFormat="1" applyBorder="1" applyAlignment="1">
      <alignment vertical="center" wrapText="1"/>
    </xf>
    <xf numFmtId="4" fontId="5" fillId="0" borderId="17" xfId="0" applyNumberFormat="1" applyFont="1" applyBorder="1" applyAlignment="1">
      <alignment vertical="center" wrapText="1"/>
    </xf>
    <xf numFmtId="4" fontId="5" fillId="0" borderId="18" xfId="0" applyNumberFormat="1" applyFont="1" applyBorder="1" applyAlignment="1">
      <alignment vertical="center" wrapText="1"/>
    </xf>
    <xf numFmtId="4" fontId="5" fillId="0" borderId="19" xfId="0" applyNumberFormat="1" applyFont="1" applyBorder="1" applyAlignment="1">
      <alignment horizontal="center" vertical="center" wrapText="1"/>
    </xf>
    <xf numFmtId="4" fontId="0" fillId="0" borderId="20" xfId="0" applyNumberFormat="1" applyBorder="1" applyAlignment="1">
      <alignment vertical="center"/>
    </xf>
    <xf numFmtId="4" fontId="0" fillId="0" borderId="21" xfId="0" applyNumberFormat="1" applyBorder="1" applyAlignment="1">
      <alignment vertical="center"/>
    </xf>
    <xf numFmtId="4" fontId="0" fillId="0" borderId="22" xfId="0" applyNumberFormat="1" applyBorder="1" applyAlignment="1">
      <alignment vertical="center"/>
    </xf>
    <xf numFmtId="4" fontId="0" fillId="0" borderId="23" xfId="0" applyNumberFormat="1" applyBorder="1" applyAlignment="1">
      <alignment vertical="center"/>
    </xf>
    <xf numFmtId="0" fontId="5" fillId="0" borderId="0" xfId="0" applyFont="1"/>
    <xf numFmtId="0" fontId="5" fillId="2" borderId="0" xfId="0" applyFont="1" applyFill="1" applyAlignment="1">
      <alignment horizontal="left" vertical="center"/>
    </xf>
    <xf numFmtId="0" fontId="5" fillId="2" borderId="1" xfId="0" applyFont="1" applyFill="1" applyBorder="1" applyAlignment="1">
      <alignment horizontal="center" vertical="center" wrapText="1"/>
    </xf>
    <xf numFmtId="4" fontId="5" fillId="0" borderId="1" xfId="0" applyNumberFormat="1" applyFont="1" applyBorder="1"/>
    <xf numFmtId="0" fontId="11" fillId="2" borderId="1" xfId="0" applyFont="1" applyFill="1" applyBorder="1" applyAlignment="1">
      <alignment horizontal="center" vertical="center" wrapText="1"/>
    </xf>
    <xf numFmtId="0" fontId="5" fillId="0" borderId="1" xfId="0" applyFont="1" applyBorder="1"/>
    <xf numFmtId="0" fontId="8" fillId="2" borderId="24" xfId="0" applyFont="1" applyFill="1" applyBorder="1" applyAlignment="1">
      <alignment horizontal="center" vertical="center" wrapText="1"/>
    </xf>
    <xf numFmtId="0" fontId="5" fillId="0" borderId="27" xfId="0" applyFont="1" applyBorder="1"/>
    <xf numFmtId="0" fontId="5" fillId="2" borderId="29" xfId="0" applyFont="1" applyFill="1" applyBorder="1" applyAlignment="1">
      <alignment horizontal="left" vertical="center"/>
    </xf>
    <xf numFmtId="0" fontId="0" fillId="2" borderId="28" xfId="0" applyFill="1" applyBorder="1" applyAlignment="1">
      <alignment horizontal="left" vertical="center"/>
    </xf>
    <xf numFmtId="0" fontId="7" fillId="2" borderId="28" xfId="0" applyFont="1" applyFill="1" applyBorder="1" applyAlignment="1">
      <alignment horizontal="left" vertical="center"/>
    </xf>
    <xf numFmtId="0" fontId="11" fillId="2" borderId="30"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4"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0" borderId="29" xfId="0" applyFont="1" applyBorder="1"/>
    <xf numFmtId="0" fontId="5" fillId="2" borderId="30" xfId="0" applyFont="1" applyFill="1" applyBorder="1" applyAlignment="1">
      <alignment horizontal="left" vertical="center"/>
    </xf>
    <xf numFmtId="0" fontId="5" fillId="0" borderId="32" xfId="0" applyFont="1" applyBorder="1"/>
    <xf numFmtId="0" fontId="8" fillId="2" borderId="0" xfId="0" applyFont="1" applyFill="1" applyAlignment="1">
      <alignment horizontal="center" vertical="center" wrapText="1"/>
    </xf>
    <xf numFmtId="4" fontId="5" fillId="0" borderId="0" xfId="0" applyNumberFormat="1" applyFont="1"/>
    <xf numFmtId="0" fontId="0" fillId="2" borderId="0" xfId="0" applyFill="1" applyAlignment="1">
      <alignment horizontal="right" vertical="center"/>
    </xf>
    <xf numFmtId="0" fontId="8" fillId="2" borderId="24" xfId="0" applyFont="1" applyFill="1" applyBorder="1" applyAlignment="1">
      <alignment horizontal="right" vertical="center" wrapText="1"/>
    </xf>
    <xf numFmtId="0" fontId="5" fillId="0" borderId="24" xfId="0" applyFont="1" applyBorder="1"/>
    <xf numFmtId="0" fontId="5" fillId="2" borderId="24" xfId="0" applyFont="1" applyFill="1" applyBorder="1" applyAlignment="1">
      <alignment horizontal="center" vertical="center" wrapText="1"/>
    </xf>
    <xf numFmtId="4" fontId="5" fillId="0" borderId="24" xfId="0" applyNumberFormat="1" applyFont="1" applyBorder="1"/>
    <xf numFmtId="4" fontId="0" fillId="2" borderId="1" xfId="0" applyNumberFormat="1" applyFill="1" applyBorder="1" applyAlignment="1">
      <alignment horizontal="right" vertical="center"/>
    </xf>
    <xf numFmtId="43" fontId="0" fillId="0" borderId="0" xfId="2" applyFont="1" applyFill="1"/>
    <xf numFmtId="164" fontId="0" fillId="0" borderId="0" xfId="0" applyNumberFormat="1"/>
    <xf numFmtId="43" fontId="0" fillId="0" borderId="0" xfId="0" applyNumberFormat="1"/>
    <xf numFmtId="164" fontId="0" fillId="0" borderId="0" xfId="0" applyNumberFormat="1" applyAlignment="1">
      <alignment vertical="center"/>
    </xf>
    <xf numFmtId="2" fontId="0" fillId="0" borderId="1" xfId="0" applyNumberFormat="1" applyBorder="1"/>
    <xf numFmtId="0" fontId="16" fillId="0" borderId="0" xfId="3" applyFont="1"/>
    <xf numFmtId="0" fontId="15" fillId="0" borderId="35" xfId="3" applyFont="1" applyBorder="1" applyAlignment="1">
      <alignment horizontal="center" vertical="center" wrapText="1"/>
    </xf>
    <xf numFmtId="0" fontId="19" fillId="0" borderId="0" xfId="3" applyFont="1"/>
    <xf numFmtId="0" fontId="20" fillId="0" borderId="1" xfId="3" applyFont="1" applyBorder="1" applyAlignment="1">
      <alignment horizontal="center" vertical="center"/>
    </xf>
    <xf numFmtId="4" fontId="20" fillId="0" borderId="1" xfId="3" applyNumberFormat="1" applyFont="1" applyBorder="1" applyAlignment="1">
      <alignment horizontal="center" vertical="center" wrapText="1"/>
    </xf>
    <xf numFmtId="0" fontId="21" fillId="0" borderId="0" xfId="3" applyFont="1"/>
    <xf numFmtId="0" fontId="14" fillId="0" borderId="1" xfId="3" applyFont="1" applyBorder="1"/>
    <xf numFmtId="10" fontId="14" fillId="0" borderId="1" xfId="3" applyNumberFormat="1" applyFont="1" applyBorder="1"/>
    <xf numFmtId="4" fontId="14" fillId="0" borderId="1" xfId="3" applyNumberFormat="1" applyFont="1" applyBorder="1"/>
    <xf numFmtId="0" fontId="22" fillId="0" borderId="1" xfId="3" applyFont="1" applyBorder="1" applyAlignment="1">
      <alignment vertical="center" wrapText="1"/>
    </xf>
    <xf numFmtId="0" fontId="19" fillId="0" borderId="1" xfId="3" applyFont="1" applyBorder="1"/>
    <xf numFmtId="4" fontId="19" fillId="0" borderId="1" xfId="3" applyNumberFormat="1" applyFont="1" applyBorder="1"/>
    <xf numFmtId="4" fontId="19" fillId="0" borderId="0" xfId="3" applyNumberFormat="1" applyFont="1"/>
    <xf numFmtId="4" fontId="5" fillId="0" borderId="0" xfId="0" applyNumberFormat="1" applyFont="1" applyAlignment="1">
      <alignment vertical="center"/>
    </xf>
    <xf numFmtId="4" fontId="23" fillId="0" borderId="5" xfId="0" applyNumberFormat="1" applyFont="1" applyBorder="1" applyAlignment="1">
      <alignment horizontal="center" vertical="center" wrapText="1"/>
    </xf>
    <xf numFmtId="4" fontId="23" fillId="0" borderId="19" xfId="0" applyNumberFormat="1" applyFont="1" applyBorder="1" applyAlignment="1">
      <alignment horizontal="center" vertical="center" wrapText="1"/>
    </xf>
    <xf numFmtId="4" fontId="23" fillId="0" borderId="4" xfId="0" applyNumberFormat="1" applyFont="1" applyBorder="1" applyAlignment="1">
      <alignment horizontal="center" vertical="center" wrapText="1"/>
    </xf>
    <xf numFmtId="4" fontId="23" fillId="0" borderId="9" xfId="0" applyNumberFormat="1" applyFont="1" applyBorder="1" applyAlignment="1">
      <alignment horizontal="center" vertical="center" wrapText="1"/>
    </xf>
    <xf numFmtId="4" fontId="5" fillId="4" borderId="16" xfId="0" applyNumberFormat="1" applyFont="1" applyFill="1" applyBorder="1" applyAlignment="1">
      <alignment vertical="center"/>
    </xf>
    <xf numFmtId="4" fontId="0" fillId="4" borderId="6" xfId="0" applyNumberFormat="1" applyFill="1" applyBorder="1" applyAlignment="1">
      <alignment vertical="center"/>
    </xf>
    <xf numFmtId="4" fontId="0" fillId="4" borderId="36" xfId="0" applyNumberFormat="1" applyFill="1" applyBorder="1" applyAlignment="1">
      <alignment vertical="center"/>
    </xf>
    <xf numFmtId="4" fontId="0" fillId="4" borderId="2" xfId="0" applyNumberFormat="1" applyFill="1" applyBorder="1" applyAlignment="1">
      <alignment vertical="center"/>
    </xf>
    <xf numFmtId="4" fontId="0" fillId="4" borderId="21" xfId="0" applyNumberFormat="1" applyFill="1" applyBorder="1" applyAlignment="1">
      <alignment vertical="center"/>
    </xf>
    <xf numFmtId="4" fontId="0" fillId="4" borderId="13" xfId="0" applyNumberFormat="1" applyFill="1" applyBorder="1" applyAlignment="1">
      <alignment vertical="center"/>
    </xf>
    <xf numFmtId="4" fontId="5" fillId="4" borderId="17" xfId="0" applyNumberFormat="1" applyFont="1" applyFill="1" applyBorder="1" applyAlignment="1">
      <alignment vertical="center"/>
    </xf>
    <xf numFmtId="4" fontId="0" fillId="4" borderId="7" xfId="0" applyNumberFormat="1" applyFill="1" applyBorder="1" applyAlignment="1">
      <alignment vertical="center"/>
    </xf>
    <xf numFmtId="4" fontId="0" fillId="4" borderId="34" xfId="0" applyNumberFormat="1" applyFill="1" applyBorder="1" applyAlignment="1">
      <alignment vertical="center"/>
    </xf>
    <xf numFmtId="4" fontId="0" fillId="4" borderId="1" xfId="0" applyNumberFormat="1" applyFill="1" applyBorder="1" applyAlignment="1">
      <alignment vertical="center"/>
    </xf>
    <xf numFmtId="4" fontId="0" fillId="4" borderId="20" xfId="0" applyNumberFormat="1" applyFill="1" applyBorder="1" applyAlignment="1">
      <alignment vertical="center"/>
    </xf>
    <xf numFmtId="4" fontId="0" fillId="4" borderId="14" xfId="0" applyNumberFormat="1" applyFill="1" applyBorder="1" applyAlignment="1">
      <alignment vertical="center"/>
    </xf>
    <xf numFmtId="4" fontId="0" fillId="4" borderId="17" xfId="0" applyNumberFormat="1" applyFill="1" applyBorder="1" applyAlignment="1">
      <alignment vertical="center"/>
    </xf>
    <xf numFmtId="4" fontId="0" fillId="4" borderId="18" xfId="0" applyNumberFormat="1" applyFill="1" applyBorder="1" applyAlignment="1">
      <alignment vertical="center" wrapText="1"/>
    </xf>
    <xf numFmtId="4" fontId="0" fillId="4" borderId="23" xfId="0" applyNumberFormat="1" applyFill="1" applyBorder="1" applyAlignment="1">
      <alignment vertical="center"/>
    </xf>
    <xf numFmtId="4" fontId="0" fillId="4" borderId="35" xfId="0" applyNumberFormat="1" applyFill="1" applyBorder="1" applyAlignment="1">
      <alignment vertical="center"/>
    </xf>
    <xf numFmtId="4" fontId="0" fillId="4" borderId="3" xfId="0" applyNumberFormat="1" applyFill="1" applyBorder="1" applyAlignment="1">
      <alignment vertical="center"/>
    </xf>
    <xf numFmtId="4" fontId="0" fillId="4" borderId="22" xfId="0" applyNumberFormat="1" applyFill="1" applyBorder="1" applyAlignment="1">
      <alignment vertical="center"/>
    </xf>
    <xf numFmtId="4" fontId="0" fillId="4" borderId="15" xfId="0" applyNumberFormat="1" applyFill="1" applyBorder="1" applyAlignment="1">
      <alignment vertical="center"/>
    </xf>
    <xf numFmtId="4" fontId="0" fillId="4" borderId="8" xfId="0" applyNumberFormat="1" applyFill="1" applyBorder="1" applyAlignment="1">
      <alignment vertical="center"/>
    </xf>
    <xf numFmtId="4" fontId="5" fillId="5" borderId="16" xfId="0" applyNumberFormat="1" applyFont="1" applyFill="1" applyBorder="1" applyAlignment="1">
      <alignment vertical="center"/>
    </xf>
    <xf numFmtId="4" fontId="0" fillId="5" borderId="6" xfId="0" applyNumberFormat="1" applyFill="1" applyBorder="1" applyAlignment="1">
      <alignment vertical="center"/>
    </xf>
    <xf numFmtId="4" fontId="0" fillId="5" borderId="36" xfId="0" applyNumberFormat="1" applyFill="1" applyBorder="1" applyAlignment="1">
      <alignment vertical="center"/>
    </xf>
    <xf numFmtId="4" fontId="0" fillId="5" borderId="2" xfId="0" applyNumberFormat="1" applyFill="1" applyBorder="1" applyAlignment="1">
      <alignment vertical="center"/>
    </xf>
    <xf numFmtId="4" fontId="0" fillId="5" borderId="21" xfId="0" applyNumberFormat="1" applyFill="1" applyBorder="1" applyAlignment="1">
      <alignment vertical="center"/>
    </xf>
    <xf numFmtId="4" fontId="0" fillId="5" borderId="13" xfId="0" applyNumberFormat="1" applyFill="1" applyBorder="1" applyAlignment="1">
      <alignment vertical="center"/>
    </xf>
    <xf numFmtId="4" fontId="0" fillId="5" borderId="10" xfId="0" applyNumberFormat="1" applyFill="1" applyBorder="1" applyAlignment="1">
      <alignment vertical="center"/>
    </xf>
    <xf numFmtId="4" fontId="5" fillId="5" borderId="17" xfId="0" applyNumberFormat="1" applyFont="1" applyFill="1" applyBorder="1" applyAlignment="1">
      <alignment vertical="center"/>
    </xf>
    <xf numFmtId="4" fontId="0" fillId="5" borderId="7" xfId="0" applyNumberFormat="1" applyFill="1" applyBorder="1" applyAlignment="1">
      <alignment vertical="center"/>
    </xf>
    <xf numFmtId="4" fontId="0" fillId="5" borderId="34" xfId="0" applyNumberFormat="1" applyFill="1" applyBorder="1" applyAlignment="1">
      <alignment vertical="center"/>
    </xf>
    <xf numFmtId="4" fontId="0" fillId="5" borderId="1" xfId="0" applyNumberFormat="1" applyFill="1" applyBorder="1" applyAlignment="1">
      <alignment vertical="center"/>
    </xf>
    <xf numFmtId="4" fontId="0" fillId="5" borderId="20" xfId="0" applyNumberFormat="1" applyFill="1" applyBorder="1" applyAlignment="1">
      <alignment vertical="center"/>
    </xf>
    <xf numFmtId="4" fontId="0" fillId="5" borderId="14" xfId="0" applyNumberFormat="1" applyFill="1" applyBorder="1" applyAlignment="1">
      <alignment vertical="center"/>
    </xf>
    <xf numFmtId="4" fontId="0" fillId="5" borderId="11" xfId="0" applyNumberFormat="1" applyFill="1" applyBorder="1" applyAlignment="1">
      <alignment vertical="center"/>
    </xf>
    <xf numFmtId="4" fontId="0" fillId="5" borderId="17" xfId="0" applyNumberFormat="1" applyFill="1" applyBorder="1" applyAlignment="1">
      <alignment vertical="center"/>
    </xf>
    <xf numFmtId="4" fontId="0" fillId="5" borderId="18" xfId="0" applyNumberFormat="1" applyFill="1" applyBorder="1" applyAlignment="1">
      <alignment vertical="center" wrapText="1"/>
    </xf>
    <xf numFmtId="4" fontId="0" fillId="5" borderId="23" xfId="0" applyNumberFormat="1" applyFill="1" applyBorder="1" applyAlignment="1">
      <alignment vertical="center"/>
    </xf>
    <xf numFmtId="4" fontId="0" fillId="5" borderId="35" xfId="0" applyNumberFormat="1" applyFill="1" applyBorder="1" applyAlignment="1">
      <alignment vertical="center"/>
    </xf>
    <xf numFmtId="4" fontId="0" fillId="5" borderId="3" xfId="0" applyNumberFormat="1" applyFill="1" applyBorder="1" applyAlignment="1">
      <alignment vertical="center"/>
    </xf>
    <xf numFmtId="4" fontId="0" fillId="5" borderId="22" xfId="0" applyNumberFormat="1" applyFill="1" applyBorder="1" applyAlignment="1">
      <alignment vertical="center"/>
    </xf>
    <xf numFmtId="4" fontId="0" fillId="5" borderId="15" xfId="0" applyNumberFormat="1" applyFill="1" applyBorder="1" applyAlignment="1">
      <alignment vertical="center"/>
    </xf>
    <xf numFmtId="4" fontId="0" fillId="5" borderId="12" xfId="0" applyNumberFormat="1" applyFill="1" applyBorder="1" applyAlignment="1">
      <alignment vertical="center"/>
    </xf>
    <xf numFmtId="4" fontId="5" fillId="6" borderId="16" xfId="0" applyNumberFormat="1" applyFont="1" applyFill="1" applyBorder="1" applyAlignment="1">
      <alignment vertical="center"/>
    </xf>
    <xf numFmtId="4" fontId="0" fillId="6" borderId="6" xfId="0" applyNumberFormat="1" applyFill="1" applyBorder="1" applyAlignment="1">
      <alignment vertical="center"/>
    </xf>
    <xf numFmtId="4" fontId="0" fillId="6" borderId="36" xfId="0" applyNumberFormat="1" applyFill="1" applyBorder="1" applyAlignment="1">
      <alignment vertical="center"/>
    </xf>
    <xf numFmtId="4" fontId="0" fillId="6" borderId="2" xfId="0" applyNumberFormat="1" applyFill="1" applyBorder="1" applyAlignment="1">
      <alignment vertical="center"/>
    </xf>
    <xf numFmtId="4" fontId="0" fillId="6" borderId="21" xfId="0" applyNumberFormat="1" applyFill="1" applyBorder="1" applyAlignment="1">
      <alignment vertical="center"/>
    </xf>
    <xf numFmtId="4" fontId="0" fillId="6" borderId="13" xfId="0" applyNumberFormat="1" applyFill="1" applyBorder="1" applyAlignment="1">
      <alignment vertical="center"/>
    </xf>
    <xf numFmtId="4" fontId="0" fillId="6" borderId="10" xfId="0" applyNumberFormat="1" applyFill="1" applyBorder="1" applyAlignment="1">
      <alignment vertical="center"/>
    </xf>
    <xf numFmtId="4" fontId="5" fillId="6" borderId="17" xfId="0" applyNumberFormat="1" applyFont="1" applyFill="1" applyBorder="1" applyAlignment="1">
      <alignment vertical="center"/>
    </xf>
    <xf numFmtId="4" fontId="0" fillId="6" borderId="7" xfId="0" applyNumberFormat="1" applyFill="1" applyBorder="1" applyAlignment="1">
      <alignment vertical="center"/>
    </xf>
    <xf numFmtId="4" fontId="0" fillId="6" borderId="34" xfId="0" applyNumberFormat="1" applyFill="1" applyBorder="1" applyAlignment="1">
      <alignment vertical="center"/>
    </xf>
    <xf numFmtId="4" fontId="0" fillId="6" borderId="1" xfId="0" applyNumberFormat="1" applyFill="1" applyBorder="1" applyAlignment="1">
      <alignment vertical="center"/>
    </xf>
    <xf numFmtId="4" fontId="0" fillId="6" borderId="20" xfId="0" applyNumberFormat="1" applyFill="1" applyBorder="1" applyAlignment="1">
      <alignment vertical="center"/>
    </xf>
    <xf numFmtId="4" fontId="0" fillId="6" borderId="14" xfId="0" applyNumberFormat="1" applyFill="1" applyBorder="1" applyAlignment="1">
      <alignment vertical="center"/>
    </xf>
    <xf numFmtId="4" fontId="0" fillId="6" borderId="11" xfId="0" applyNumberFormat="1" applyFill="1" applyBorder="1" applyAlignment="1">
      <alignment vertical="center"/>
    </xf>
    <xf numFmtId="4" fontId="0" fillId="6" borderId="17" xfId="0" applyNumberFormat="1" applyFill="1" applyBorder="1" applyAlignment="1">
      <alignment vertical="center"/>
    </xf>
    <xf numFmtId="4" fontId="0" fillId="6" borderId="18" xfId="0" applyNumberFormat="1" applyFill="1" applyBorder="1" applyAlignment="1">
      <alignment vertical="center" wrapText="1"/>
    </xf>
    <xf numFmtId="4" fontId="0" fillId="6" borderId="23" xfId="0" applyNumberFormat="1" applyFill="1" applyBorder="1" applyAlignment="1">
      <alignment vertical="center"/>
    </xf>
    <xf numFmtId="4" fontId="0" fillId="6" borderId="35" xfId="0" applyNumberFormat="1" applyFill="1" applyBorder="1" applyAlignment="1">
      <alignment vertical="center"/>
    </xf>
    <xf numFmtId="4" fontId="0" fillId="6" borderId="3" xfId="0" applyNumberFormat="1" applyFill="1" applyBorder="1" applyAlignment="1">
      <alignment vertical="center"/>
    </xf>
    <xf numFmtId="4" fontId="0" fillId="6" borderId="22" xfId="0" applyNumberFormat="1" applyFill="1" applyBorder="1" applyAlignment="1">
      <alignment vertical="center"/>
    </xf>
    <xf numFmtId="4" fontId="0" fillId="6" borderId="15" xfId="0" applyNumberFormat="1" applyFill="1" applyBorder="1" applyAlignment="1">
      <alignment vertical="center"/>
    </xf>
    <xf numFmtId="4" fontId="0" fillId="6" borderId="12" xfId="0" applyNumberFormat="1" applyFill="1" applyBorder="1" applyAlignment="1">
      <alignment vertical="center"/>
    </xf>
    <xf numFmtId="4" fontId="5" fillId="7" borderId="16" xfId="0" applyNumberFormat="1" applyFont="1" applyFill="1" applyBorder="1" applyAlignment="1">
      <alignment vertical="center"/>
    </xf>
    <xf numFmtId="4" fontId="0" fillId="7" borderId="6" xfId="0" applyNumberFormat="1" applyFill="1" applyBorder="1" applyAlignment="1">
      <alignment vertical="center"/>
    </xf>
    <xf numFmtId="4" fontId="0" fillId="7" borderId="36" xfId="0" applyNumberFormat="1" applyFill="1" applyBorder="1" applyAlignment="1">
      <alignment vertical="center"/>
    </xf>
    <xf numFmtId="4" fontId="0" fillId="7" borderId="2" xfId="0" applyNumberFormat="1" applyFill="1" applyBorder="1" applyAlignment="1">
      <alignment vertical="center"/>
    </xf>
    <xf numFmtId="4" fontId="0" fillId="7" borderId="21" xfId="0" applyNumberFormat="1" applyFill="1" applyBorder="1" applyAlignment="1">
      <alignment vertical="center"/>
    </xf>
    <xf numFmtId="4" fontId="0" fillId="7" borderId="13" xfId="0" applyNumberFormat="1" applyFill="1" applyBorder="1" applyAlignment="1">
      <alignment vertical="center"/>
    </xf>
    <xf numFmtId="4" fontId="0" fillId="7" borderId="10" xfId="0" applyNumberFormat="1" applyFill="1" applyBorder="1" applyAlignment="1">
      <alignment vertical="center"/>
    </xf>
    <xf numFmtId="4" fontId="5" fillId="7" borderId="17" xfId="0" applyNumberFormat="1" applyFont="1" applyFill="1" applyBorder="1" applyAlignment="1">
      <alignment vertical="center"/>
    </xf>
    <xf numFmtId="4" fontId="0" fillId="7" borderId="7" xfId="0" applyNumberFormat="1" applyFill="1" applyBorder="1" applyAlignment="1">
      <alignment vertical="center"/>
    </xf>
    <xf numFmtId="4" fontId="0" fillId="7" borderId="34" xfId="0" applyNumberFormat="1" applyFill="1" applyBorder="1" applyAlignment="1">
      <alignment vertical="center"/>
    </xf>
    <xf numFmtId="4" fontId="0" fillId="7" borderId="1" xfId="0" applyNumberFormat="1" applyFill="1" applyBorder="1" applyAlignment="1">
      <alignment vertical="center"/>
    </xf>
    <xf numFmtId="4" fontId="0" fillId="7" borderId="20" xfId="0" applyNumberFormat="1" applyFill="1" applyBorder="1" applyAlignment="1">
      <alignment vertical="center"/>
    </xf>
    <xf numFmtId="4" fontId="0" fillId="7" borderId="14" xfId="0" applyNumberFormat="1" applyFill="1" applyBorder="1" applyAlignment="1">
      <alignment vertical="center"/>
    </xf>
    <xf numFmtId="4" fontId="0" fillId="7" borderId="11" xfId="0" applyNumberFormat="1" applyFill="1" applyBorder="1" applyAlignment="1">
      <alignment vertical="center"/>
    </xf>
    <xf numFmtId="4" fontId="5" fillId="7" borderId="17" xfId="0" applyNumberFormat="1" applyFont="1" applyFill="1" applyBorder="1" applyAlignment="1">
      <alignment vertical="center" wrapText="1"/>
    </xf>
    <xf numFmtId="4" fontId="5" fillId="7" borderId="18" xfId="0" applyNumberFormat="1" applyFont="1" applyFill="1" applyBorder="1" applyAlignment="1">
      <alignment vertical="center" wrapText="1"/>
    </xf>
    <xf numFmtId="4" fontId="0" fillId="7" borderId="8" xfId="0" applyNumberFormat="1" applyFill="1" applyBorder="1" applyAlignment="1">
      <alignment vertical="center"/>
    </xf>
    <xf numFmtId="4" fontId="0" fillId="7" borderId="37" xfId="0" applyNumberFormat="1" applyFill="1" applyBorder="1" applyAlignment="1">
      <alignment vertical="center"/>
    </xf>
    <xf numFmtId="4" fontId="0" fillId="7" borderId="3" xfId="0" applyNumberFormat="1" applyFill="1" applyBorder="1" applyAlignment="1">
      <alignment vertical="center"/>
    </xf>
    <xf numFmtId="4" fontId="0" fillId="7" borderId="22" xfId="0" applyNumberFormat="1" applyFill="1" applyBorder="1" applyAlignment="1">
      <alignment vertical="center"/>
    </xf>
    <xf numFmtId="4" fontId="0" fillId="7" borderId="15" xfId="0" applyNumberFormat="1" applyFill="1" applyBorder="1" applyAlignment="1">
      <alignment vertical="center"/>
    </xf>
    <xf numFmtId="4" fontId="0" fillId="7" borderId="12" xfId="0" applyNumberFormat="1" applyFill="1" applyBorder="1" applyAlignment="1">
      <alignment vertical="center"/>
    </xf>
    <xf numFmtId="0" fontId="23" fillId="0" borderId="38" xfId="0" applyFont="1" applyBorder="1" applyAlignment="1">
      <alignment horizontal="center" vertical="center"/>
    </xf>
    <xf numFmtId="4" fontId="23" fillId="0" borderId="39" xfId="0" applyNumberFormat="1" applyFont="1" applyBorder="1" applyAlignment="1">
      <alignment horizontal="center" vertical="center" wrapText="1"/>
    </xf>
    <xf numFmtId="4" fontId="23" fillId="0" borderId="40" xfId="0" applyNumberFormat="1" applyFont="1" applyBorder="1" applyAlignment="1">
      <alignment horizontal="center" vertical="center" wrapText="1"/>
    </xf>
    <xf numFmtId="0" fontId="23" fillId="0" borderId="41" xfId="0" applyFont="1" applyBorder="1" applyAlignment="1">
      <alignment horizontal="center" vertical="center"/>
    </xf>
    <xf numFmtId="4" fontId="5" fillId="0" borderId="2" xfId="0" applyNumberFormat="1" applyFont="1" applyBorder="1" applyAlignment="1">
      <alignment vertical="center"/>
    </xf>
    <xf numFmtId="4" fontId="0" fillId="4" borderId="2" xfId="0" applyNumberFormat="1" applyFill="1" applyBorder="1" applyAlignment="1">
      <alignment horizontal="center" vertical="center"/>
    </xf>
    <xf numFmtId="4" fontId="0" fillId="4" borderId="2" xfId="0" applyNumberFormat="1" applyFill="1" applyBorder="1" applyAlignment="1">
      <alignment horizontal="right" vertical="center"/>
    </xf>
    <xf numFmtId="4" fontId="5" fillId="0" borderId="1" xfId="0" applyNumberFormat="1" applyFont="1" applyBorder="1" applyAlignment="1">
      <alignment vertical="center"/>
    </xf>
    <xf numFmtId="4" fontId="0" fillId="4" borderId="1" xfId="0" applyNumberFormat="1" applyFill="1" applyBorder="1" applyAlignment="1">
      <alignment horizontal="center" vertical="center"/>
    </xf>
    <xf numFmtId="4" fontId="0" fillId="4" borderId="1" xfId="0" applyNumberFormat="1" applyFill="1" applyBorder="1" applyAlignment="1">
      <alignment horizontal="right" vertical="center"/>
    </xf>
    <xf numFmtId="4" fontId="0" fillId="4" borderId="0" xfId="0" applyNumberFormat="1" applyFill="1" applyAlignment="1">
      <alignment horizontal="center" vertical="center"/>
    </xf>
    <xf numFmtId="4" fontId="0" fillId="0" borderId="3" xfId="0" applyNumberFormat="1" applyBorder="1" applyAlignment="1">
      <alignment vertical="center" wrapText="1"/>
    </xf>
    <xf numFmtId="4" fontId="0" fillId="4" borderId="3" xfId="0" applyNumberFormat="1" applyFill="1" applyBorder="1" applyAlignment="1">
      <alignment horizontal="center" vertical="center"/>
    </xf>
    <xf numFmtId="4" fontId="0" fillId="4" borderId="31" xfId="0" applyNumberFormat="1" applyFill="1" applyBorder="1" applyAlignment="1">
      <alignment horizontal="center" vertical="center"/>
    </xf>
    <xf numFmtId="4" fontId="0" fillId="4" borderId="3" xfId="0" applyNumberFormat="1" applyFill="1" applyBorder="1" applyAlignment="1">
      <alignment horizontal="right" vertical="center"/>
    </xf>
    <xf numFmtId="4" fontId="0" fillId="5" borderId="2" xfId="0" applyNumberFormat="1" applyFill="1" applyBorder="1" applyAlignment="1">
      <alignment horizontal="center" vertical="center"/>
    </xf>
    <xf numFmtId="4" fontId="0" fillId="5" borderId="47" xfId="0" applyNumberFormat="1" applyFill="1" applyBorder="1" applyAlignment="1">
      <alignment vertical="center"/>
    </xf>
    <xf numFmtId="4" fontId="0" fillId="5" borderId="39" xfId="0" applyNumberFormat="1" applyFill="1" applyBorder="1" applyAlignment="1">
      <alignment vertical="center"/>
    </xf>
    <xf numFmtId="4" fontId="0" fillId="5" borderId="2" xfId="0" applyNumberFormat="1" applyFill="1" applyBorder="1" applyAlignment="1">
      <alignment horizontal="right" vertical="center"/>
    </xf>
    <xf numFmtId="4" fontId="0" fillId="5" borderId="1" xfId="0" applyNumberFormat="1" applyFill="1" applyBorder="1" applyAlignment="1">
      <alignment horizontal="center" vertical="center"/>
    </xf>
    <xf numFmtId="4" fontId="0" fillId="5" borderId="48" xfId="0" applyNumberFormat="1" applyFill="1" applyBorder="1" applyAlignment="1">
      <alignment vertical="center"/>
    </xf>
    <xf numFmtId="4" fontId="0" fillId="5" borderId="49" xfId="0" applyNumberFormat="1" applyFill="1" applyBorder="1" applyAlignment="1">
      <alignment vertical="center"/>
    </xf>
    <xf numFmtId="4" fontId="0" fillId="5" borderId="1" xfId="0" applyNumberFormat="1" applyFill="1" applyBorder="1" applyAlignment="1">
      <alignment horizontal="right" vertical="center"/>
    </xf>
    <xf numFmtId="4" fontId="0" fillId="5" borderId="3" xfId="0" applyNumberFormat="1" applyFill="1" applyBorder="1" applyAlignment="1">
      <alignment horizontal="center" vertical="center"/>
    </xf>
    <xf numFmtId="4" fontId="0" fillId="5" borderId="50" xfId="0" applyNumberFormat="1" applyFill="1" applyBorder="1" applyAlignment="1">
      <alignment vertical="center"/>
    </xf>
    <xf numFmtId="4" fontId="0" fillId="5" borderId="51" xfId="0" applyNumberFormat="1" applyFill="1" applyBorder="1" applyAlignment="1">
      <alignment vertical="center"/>
    </xf>
    <xf numFmtId="4" fontId="0" fillId="5" borderId="3" xfId="0" applyNumberFormat="1" applyFill="1" applyBorder="1" applyAlignment="1">
      <alignment horizontal="right" vertical="center"/>
    </xf>
    <xf numFmtId="4" fontId="0" fillId="6" borderId="2" xfId="0" applyNumberFormat="1" applyFill="1" applyBorder="1" applyAlignment="1">
      <alignment horizontal="center" vertical="center"/>
    </xf>
    <xf numFmtId="4" fontId="0" fillId="6" borderId="26" xfId="0" applyNumberFormat="1" applyFill="1" applyBorder="1" applyAlignment="1">
      <alignment vertical="center"/>
    </xf>
    <xf numFmtId="4" fontId="0" fillId="6" borderId="39" xfId="0" applyNumberFormat="1" applyFill="1" applyBorder="1" applyAlignment="1">
      <alignment vertical="center"/>
    </xf>
    <xf numFmtId="4" fontId="0" fillId="6" borderId="2" xfId="0" applyNumberFormat="1" applyFill="1" applyBorder="1" applyAlignment="1">
      <alignment horizontal="right" vertical="center"/>
    </xf>
    <xf numFmtId="4" fontId="0" fillId="6" borderId="1" xfId="0" applyNumberFormat="1" applyFill="1" applyBorder="1" applyAlignment="1">
      <alignment horizontal="center" vertical="center"/>
    </xf>
    <xf numFmtId="4" fontId="0" fillId="6" borderId="0" xfId="0" applyNumberFormat="1" applyFill="1" applyAlignment="1">
      <alignment vertical="center"/>
    </xf>
    <xf numFmtId="4" fontId="0" fillId="6" borderId="49" xfId="0" applyNumberFormat="1" applyFill="1" applyBorder="1" applyAlignment="1">
      <alignment vertical="center"/>
    </xf>
    <xf numFmtId="4" fontId="0" fillId="6" borderId="1" xfId="0" applyNumberFormat="1" applyFill="1" applyBorder="1" applyAlignment="1">
      <alignment horizontal="right" vertical="center"/>
    </xf>
    <xf numFmtId="4" fontId="0" fillId="6" borderId="3" xfId="0" applyNumberFormat="1" applyFill="1" applyBorder="1" applyAlignment="1">
      <alignment horizontal="center" vertical="center"/>
    </xf>
    <xf numFmtId="4" fontId="0" fillId="6" borderId="31" xfId="0" applyNumberFormat="1" applyFill="1" applyBorder="1" applyAlignment="1">
      <alignment vertical="center"/>
    </xf>
    <xf numFmtId="4" fontId="0" fillId="6" borderId="51" xfId="0" applyNumberFormat="1" applyFill="1" applyBorder="1" applyAlignment="1">
      <alignment vertical="center"/>
    </xf>
    <xf numFmtId="4" fontId="0" fillId="6" borderId="3" xfId="0" applyNumberFormat="1" applyFill="1" applyBorder="1" applyAlignment="1">
      <alignment horizontal="right" vertical="center"/>
    </xf>
    <xf numFmtId="4" fontId="0" fillId="7" borderId="2" xfId="0" applyNumberFormat="1" applyFill="1" applyBorder="1" applyAlignment="1">
      <alignment horizontal="center" vertical="center"/>
    </xf>
    <xf numFmtId="4" fontId="0" fillId="7" borderId="26" xfId="0" applyNumberFormat="1" applyFill="1" applyBorder="1" applyAlignment="1">
      <alignment vertical="center"/>
    </xf>
    <xf numFmtId="4" fontId="0" fillId="7" borderId="39" xfId="0" applyNumberFormat="1" applyFill="1" applyBorder="1" applyAlignment="1">
      <alignment vertical="center"/>
    </xf>
    <xf numFmtId="4" fontId="0" fillId="7" borderId="2" xfId="0" applyNumberFormat="1" applyFill="1" applyBorder="1" applyAlignment="1">
      <alignment horizontal="right" vertical="center"/>
    </xf>
    <xf numFmtId="4" fontId="0" fillId="7" borderId="1" xfId="0" applyNumberFormat="1" applyFill="1" applyBorder="1" applyAlignment="1">
      <alignment horizontal="center" vertical="center"/>
    </xf>
    <xf numFmtId="4" fontId="0" fillId="7" borderId="0" xfId="0" applyNumberFormat="1" applyFill="1" applyAlignment="1">
      <alignment vertical="center"/>
    </xf>
    <xf numFmtId="4" fontId="0" fillId="7" borderId="49" xfId="0" applyNumberFormat="1" applyFill="1" applyBorder="1" applyAlignment="1">
      <alignment vertical="center"/>
    </xf>
    <xf numFmtId="4" fontId="0" fillId="7" borderId="1" xfId="0" applyNumberFormat="1" applyFill="1" applyBorder="1" applyAlignment="1">
      <alignment horizontal="right" vertical="center"/>
    </xf>
    <xf numFmtId="4" fontId="5" fillId="0" borderId="3" xfId="0" applyNumberFormat="1" applyFont="1" applyBorder="1" applyAlignment="1">
      <alignment vertical="center" wrapText="1"/>
    </xf>
    <xf numFmtId="4" fontId="0" fillId="7" borderId="3" xfId="0" applyNumberFormat="1" applyFill="1" applyBorder="1" applyAlignment="1">
      <alignment horizontal="center" vertical="center"/>
    </xf>
    <xf numFmtId="4" fontId="0" fillId="7" borderId="31" xfId="0" applyNumberFormat="1" applyFill="1" applyBorder="1" applyAlignment="1">
      <alignment vertical="center"/>
    </xf>
    <xf numFmtId="4" fontId="0" fillId="7" borderId="51" xfId="0" applyNumberFormat="1" applyFill="1" applyBorder="1" applyAlignment="1">
      <alignment vertical="center"/>
    </xf>
    <xf numFmtId="4" fontId="0" fillId="7" borderId="3" xfId="0" applyNumberFormat="1" applyFill="1" applyBorder="1" applyAlignment="1">
      <alignment horizontal="right"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10" fillId="4" borderId="52" xfId="0" applyFont="1" applyFill="1" applyBorder="1" applyAlignment="1">
      <alignment vertical="center" wrapText="1"/>
    </xf>
    <xf numFmtId="4" fontId="24" fillId="4" borderId="4" xfId="0" applyNumberFormat="1" applyFont="1" applyFill="1" applyBorder="1" applyAlignment="1">
      <alignment vertical="center"/>
    </xf>
    <xf numFmtId="4" fontId="0" fillId="4" borderId="4" xfId="0" applyNumberFormat="1" applyFill="1" applyBorder="1" applyAlignment="1">
      <alignment horizontal="center" vertical="center"/>
    </xf>
    <xf numFmtId="4" fontId="0" fillId="4" borderId="4" xfId="0" applyNumberFormat="1" applyFill="1" applyBorder="1" applyAlignment="1">
      <alignment vertical="center"/>
    </xf>
    <xf numFmtId="0" fontId="10" fillId="4" borderId="53" xfId="0" applyFont="1" applyFill="1" applyBorder="1" applyAlignment="1">
      <alignment vertical="center" wrapText="1"/>
    </xf>
    <xf numFmtId="0" fontId="10" fillId="5" borderId="52" xfId="0" applyFont="1" applyFill="1" applyBorder="1" applyAlignment="1">
      <alignment vertical="center" wrapText="1"/>
    </xf>
    <xf numFmtId="4" fontId="24" fillId="5" borderId="4" xfId="0" applyNumberFormat="1" applyFont="1" applyFill="1" applyBorder="1" applyAlignment="1">
      <alignment vertical="center"/>
    </xf>
    <xf numFmtId="4" fontId="0" fillId="5" borderId="4" xfId="0" applyNumberFormat="1" applyFill="1" applyBorder="1" applyAlignment="1">
      <alignment horizontal="center" vertical="center"/>
    </xf>
    <xf numFmtId="4" fontId="0" fillId="5" borderId="4" xfId="0" applyNumberFormat="1" applyFill="1" applyBorder="1" applyAlignment="1">
      <alignment vertical="center"/>
    </xf>
    <xf numFmtId="0" fontId="10" fillId="5" borderId="53" xfId="0" applyFont="1" applyFill="1" applyBorder="1" applyAlignment="1">
      <alignment vertical="center" wrapText="1"/>
    </xf>
    <xf numFmtId="0" fontId="10" fillId="6" borderId="52" xfId="0" applyFont="1" applyFill="1" applyBorder="1" applyAlignment="1">
      <alignment vertical="center" wrapText="1"/>
    </xf>
    <xf numFmtId="4" fontId="24" fillId="6" borderId="4" xfId="0" applyNumberFormat="1" applyFont="1" applyFill="1" applyBorder="1" applyAlignment="1">
      <alignment vertical="center"/>
    </xf>
    <xf numFmtId="4" fontId="0" fillId="6" borderId="4" xfId="0" applyNumberFormat="1" applyFill="1" applyBorder="1" applyAlignment="1">
      <alignment horizontal="center" vertical="center"/>
    </xf>
    <xf numFmtId="4" fontId="0" fillId="6" borderId="4" xfId="0" applyNumberFormat="1" applyFill="1" applyBorder="1" applyAlignment="1">
      <alignment vertical="center"/>
    </xf>
    <xf numFmtId="0" fontId="10" fillId="6" borderId="53" xfId="0" applyFont="1" applyFill="1" applyBorder="1" applyAlignment="1">
      <alignment vertical="center" wrapText="1"/>
    </xf>
    <xf numFmtId="0" fontId="11" fillId="7" borderId="52" xfId="0" applyFont="1" applyFill="1" applyBorder="1" applyAlignment="1">
      <alignment vertical="center" wrapText="1"/>
    </xf>
    <xf numFmtId="4" fontId="24" fillId="7" borderId="4" xfId="0" applyNumberFormat="1" applyFont="1" applyFill="1" applyBorder="1" applyAlignment="1">
      <alignment vertical="center"/>
    </xf>
    <xf numFmtId="4" fontId="0" fillId="7" borderId="4" xfId="0" applyNumberFormat="1" applyFill="1" applyBorder="1" applyAlignment="1">
      <alignment horizontal="center" vertical="center"/>
    </xf>
    <xf numFmtId="4" fontId="0" fillId="7" borderId="4" xfId="0" applyNumberFormat="1" applyFill="1" applyBorder="1" applyAlignment="1">
      <alignment vertical="center"/>
    </xf>
    <xf numFmtId="0" fontId="11" fillId="7" borderId="53" xfId="0" applyFont="1" applyFill="1" applyBorder="1" applyAlignment="1">
      <alignment vertical="center" wrapText="1"/>
    </xf>
    <xf numFmtId="0" fontId="10" fillId="4" borderId="41" xfId="0" applyFont="1" applyFill="1" applyBorder="1" applyAlignment="1">
      <alignment horizontal="center" vertical="center" wrapText="1"/>
    </xf>
    <xf numFmtId="0" fontId="10" fillId="4" borderId="44" xfId="0" applyFont="1" applyFill="1" applyBorder="1" applyAlignment="1">
      <alignment horizontal="center" vertical="center" wrapText="1"/>
    </xf>
    <xf numFmtId="0" fontId="10" fillId="4" borderId="46"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5" xfId="0" applyFont="1" applyFill="1" applyBorder="1" applyAlignment="1">
      <alignment horizontal="center" vertical="center" wrapText="1"/>
    </xf>
    <xf numFmtId="4" fontId="0" fillId="4" borderId="21" xfId="0" applyNumberFormat="1" applyFill="1" applyBorder="1" applyAlignment="1">
      <alignment horizontal="center" vertical="center"/>
    </xf>
    <xf numFmtId="4" fontId="0" fillId="4" borderId="20" xfId="0" applyNumberFormat="1" applyFill="1" applyBorder="1" applyAlignment="1">
      <alignment horizontal="center" vertical="center"/>
    </xf>
    <xf numFmtId="4" fontId="0" fillId="4" borderId="22" xfId="0" applyNumberFormat="1" applyFill="1" applyBorder="1" applyAlignment="1">
      <alignment horizontal="center" vertical="center"/>
    </xf>
    <xf numFmtId="4" fontId="0" fillId="4" borderId="2" xfId="0" applyNumberFormat="1" applyFill="1" applyBorder="1" applyAlignment="1">
      <alignment horizontal="center" vertical="center"/>
    </xf>
    <xf numFmtId="4" fontId="0" fillId="4" borderId="1" xfId="0" applyNumberFormat="1" applyFill="1" applyBorder="1" applyAlignment="1">
      <alignment horizontal="center" vertical="center"/>
    </xf>
    <xf numFmtId="4" fontId="0" fillId="4" borderId="3" xfId="0" applyNumberFormat="1" applyFill="1" applyBorder="1" applyAlignment="1">
      <alignment horizontal="center" vertical="center"/>
    </xf>
    <xf numFmtId="4" fontId="0" fillId="6" borderId="21" xfId="0" applyNumberFormat="1" applyFill="1" applyBorder="1" applyAlignment="1">
      <alignment horizontal="center" vertical="center"/>
    </xf>
    <xf numFmtId="4" fontId="0" fillId="6" borderId="20" xfId="0" applyNumberFormat="1" applyFill="1" applyBorder="1" applyAlignment="1">
      <alignment horizontal="center" vertical="center"/>
    </xf>
    <xf numFmtId="4" fontId="0" fillId="6" borderId="22" xfId="0" applyNumberFormat="1" applyFill="1" applyBorder="1" applyAlignment="1">
      <alignment horizontal="center" vertical="center"/>
    </xf>
    <xf numFmtId="4" fontId="0" fillId="6" borderId="2" xfId="0" applyNumberFormat="1" applyFill="1" applyBorder="1" applyAlignment="1">
      <alignment horizontal="center" vertical="center"/>
    </xf>
    <xf numFmtId="4" fontId="0" fillId="6" borderId="1" xfId="0" applyNumberFormat="1" applyFill="1" applyBorder="1" applyAlignment="1">
      <alignment horizontal="center" vertical="center"/>
    </xf>
    <xf numFmtId="4" fontId="0" fillId="6" borderId="3" xfId="0" applyNumberFormat="1" applyFill="1" applyBorder="1" applyAlignment="1">
      <alignment horizontal="center" vertical="center"/>
    </xf>
    <xf numFmtId="0" fontId="10" fillId="6" borderId="41"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46" xfId="0" applyFont="1" applyFill="1" applyBorder="1" applyAlignment="1">
      <alignment horizontal="center" vertical="center" wrapText="1"/>
    </xf>
    <xf numFmtId="4" fontId="0" fillId="5" borderId="21" xfId="0" applyNumberFormat="1" applyFill="1" applyBorder="1" applyAlignment="1">
      <alignment horizontal="center" vertical="center"/>
    </xf>
    <xf numFmtId="4" fontId="0" fillId="5" borderId="20" xfId="0" applyNumberFormat="1" applyFill="1" applyBorder="1" applyAlignment="1">
      <alignment horizontal="center" vertical="center"/>
    </xf>
    <xf numFmtId="4" fontId="0" fillId="5" borderId="22" xfId="0" applyNumberFormat="1" applyFill="1" applyBorder="1" applyAlignment="1">
      <alignment horizontal="center" vertical="center"/>
    </xf>
    <xf numFmtId="4" fontId="0" fillId="5" borderId="2" xfId="0" applyNumberFormat="1" applyFill="1" applyBorder="1" applyAlignment="1">
      <alignment horizontal="center" vertical="center"/>
    </xf>
    <xf numFmtId="4" fontId="0" fillId="5" borderId="1" xfId="0" applyNumberFormat="1" applyFill="1" applyBorder="1" applyAlignment="1">
      <alignment horizontal="center" vertical="center"/>
    </xf>
    <xf numFmtId="4" fontId="0" fillId="5" borderId="3" xfId="0" applyNumberFormat="1" applyFill="1" applyBorder="1" applyAlignment="1">
      <alignment horizontal="center" vertical="center"/>
    </xf>
    <xf numFmtId="0" fontId="10" fillId="5" borderId="41"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10" fillId="5" borderId="46"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45" xfId="0" applyFont="1" applyFill="1" applyBorder="1" applyAlignment="1">
      <alignment horizontal="center" vertical="center" wrapText="1"/>
    </xf>
    <xf numFmtId="4" fontId="0" fillId="7" borderId="21" xfId="0" applyNumberFormat="1" applyFill="1" applyBorder="1" applyAlignment="1">
      <alignment horizontal="center" vertical="center"/>
    </xf>
    <xf numFmtId="4" fontId="0" fillId="7" borderId="20" xfId="0" applyNumberFormat="1" applyFill="1" applyBorder="1" applyAlignment="1">
      <alignment horizontal="center" vertical="center"/>
    </xf>
    <xf numFmtId="4" fontId="0" fillId="7" borderId="22" xfId="0" applyNumberFormat="1" applyFill="1" applyBorder="1" applyAlignment="1">
      <alignment horizontal="center" vertical="center"/>
    </xf>
    <xf numFmtId="4" fontId="0" fillId="7" borderId="2" xfId="0" applyNumberFormat="1" applyFill="1" applyBorder="1" applyAlignment="1">
      <alignment horizontal="center" vertical="center"/>
    </xf>
    <xf numFmtId="4" fontId="0" fillId="7" borderId="1" xfId="0" applyNumberFormat="1" applyFill="1" applyBorder="1" applyAlignment="1">
      <alignment horizontal="center" vertical="center"/>
    </xf>
    <xf numFmtId="4" fontId="0" fillId="7" borderId="3" xfId="0" applyNumberFormat="1" applyFill="1" applyBorder="1" applyAlignment="1">
      <alignment horizontal="center" vertical="center"/>
    </xf>
    <xf numFmtId="0" fontId="11" fillId="7" borderId="41" xfId="0" applyFont="1" applyFill="1" applyBorder="1" applyAlignment="1">
      <alignment horizontal="center" vertical="center" wrapText="1"/>
    </xf>
    <xf numFmtId="0" fontId="11" fillId="7" borderId="44" xfId="0" applyFont="1" applyFill="1" applyBorder="1" applyAlignment="1">
      <alignment horizontal="center" vertical="center" wrapText="1"/>
    </xf>
    <xf numFmtId="0" fontId="11" fillId="7" borderId="46" xfId="0" applyFont="1" applyFill="1" applyBorder="1" applyAlignment="1">
      <alignment horizontal="center" vertical="center" wrapText="1"/>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20" xfId="0" applyFont="1"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20" xfId="0" applyFill="1" applyBorder="1" applyAlignment="1">
      <alignment horizontal="center" vertical="center"/>
    </xf>
    <xf numFmtId="0" fontId="15" fillId="0" borderId="1" xfId="3" applyFont="1" applyBorder="1" applyAlignment="1">
      <alignment horizontal="center" vertical="center" wrapText="1"/>
    </xf>
    <xf numFmtId="49" fontId="17" fillId="0" borderId="1" xfId="3" applyNumberFormat="1" applyFont="1" applyBorder="1" applyAlignment="1">
      <alignment horizontal="justify" vertical="center" wrapText="1"/>
    </xf>
    <xf numFmtId="0" fontId="18" fillId="0" borderId="1" xfId="3" applyFont="1" applyBorder="1" applyAlignment="1">
      <alignment horizontal="center" vertical="center" wrapText="1"/>
    </xf>
  </cellXfs>
  <cellStyles count="4">
    <cellStyle name="Migliaia" xfId="2" builtinId="3"/>
    <cellStyle name="Normale" xfId="0" builtinId="0"/>
    <cellStyle name="Normale 2" xfId="1" xr:uid="{E0CB55A6-9C59-40D1-BC2F-474A06CA3302}"/>
    <cellStyle name="Normale 3" xfId="3" xr:uid="{25B09532-9431-49A0-BA57-2E085D1E1FF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5EA0-22E2-43A7-8907-BBA7B3C90DE5}">
  <sheetPr codeName="Foglio4"/>
  <dimension ref="A1:O39"/>
  <sheetViews>
    <sheetView zoomScaleNormal="100" workbookViewId="0">
      <selection activeCell="J8" sqref="J8"/>
    </sheetView>
  </sheetViews>
  <sheetFormatPr defaultRowHeight="12.75" x14ac:dyDescent="0.2"/>
  <cols>
    <col min="1" max="1" width="6.140625" style="6" customWidth="1"/>
    <col min="2" max="2" width="11.42578125" style="6" customWidth="1"/>
    <col min="3" max="3" width="10.28515625" style="6" customWidth="1"/>
    <col min="4" max="4" width="11.5703125" style="6" customWidth="1"/>
    <col min="5" max="5" width="9.140625" style="6" customWidth="1"/>
    <col min="6" max="6" width="9.42578125" style="6" bestFit="1" customWidth="1"/>
    <col min="7" max="7" width="10.28515625" style="6" customWidth="1"/>
    <col min="8" max="8" width="9.7109375" style="6" bestFit="1" customWidth="1"/>
    <col min="9" max="9" width="10.85546875" style="6" customWidth="1"/>
    <col min="10" max="10" width="10.7109375" style="6" customWidth="1"/>
    <col min="11" max="11" width="12" style="6" customWidth="1"/>
    <col min="12" max="13" width="10.7109375" style="6" customWidth="1"/>
    <col min="14" max="14" width="6.28515625" style="6" customWidth="1"/>
    <col min="15" max="15" width="9.140625" style="6"/>
    <col min="16" max="16384" width="9.140625" style="9"/>
  </cols>
  <sheetData>
    <row r="1" spans="1:15" ht="15.75" x14ac:dyDescent="0.2">
      <c r="B1" s="8"/>
    </row>
    <row r="2" spans="1:15" ht="18.75" x14ac:dyDescent="0.2">
      <c r="A2" s="2" t="s">
        <v>88</v>
      </c>
    </row>
    <row r="3" spans="1:15" x14ac:dyDescent="0.2">
      <c r="A3" s="10" t="s">
        <v>93</v>
      </c>
      <c r="B3" s="10"/>
      <c r="C3" s="10"/>
      <c r="D3" s="10"/>
    </row>
    <row r="4" spans="1:15" ht="13.5" thickBot="1" x14ac:dyDescent="0.25">
      <c r="A4" s="11"/>
    </row>
    <row r="5" spans="1:15" s="14" customFormat="1" ht="64.5" thickBot="1" x14ac:dyDescent="0.25">
      <c r="A5" s="12" t="s">
        <v>27</v>
      </c>
      <c r="B5" s="32" t="s">
        <v>46</v>
      </c>
      <c r="C5" s="7" t="s">
        <v>33</v>
      </c>
      <c r="D5" s="7" t="s">
        <v>36</v>
      </c>
      <c r="E5" s="7" t="s">
        <v>35</v>
      </c>
      <c r="F5" s="7" t="s">
        <v>42</v>
      </c>
      <c r="G5" s="7" t="s">
        <v>41</v>
      </c>
      <c r="H5" s="7" t="s">
        <v>34</v>
      </c>
      <c r="I5" s="7" t="s">
        <v>32</v>
      </c>
      <c r="J5" s="7" t="s">
        <v>37</v>
      </c>
      <c r="K5" s="7" t="s">
        <v>38</v>
      </c>
      <c r="L5" s="7" t="s">
        <v>39</v>
      </c>
      <c r="M5" s="13" t="s">
        <v>40</v>
      </c>
      <c r="N5" s="12" t="s">
        <v>27</v>
      </c>
      <c r="O5" s="25"/>
    </row>
    <row r="6" spans="1:15" x14ac:dyDescent="0.2">
      <c r="A6" s="26" t="s">
        <v>43</v>
      </c>
      <c r="B6" s="15">
        <v>37908.32</v>
      </c>
      <c r="C6" s="34">
        <f t="shared" ref="C6:C36" si="0">B6-E6</f>
        <v>31090.09</v>
      </c>
      <c r="D6" s="3">
        <v>3099</v>
      </c>
      <c r="E6" s="3">
        <f>6818.23</f>
        <v>6818.23</v>
      </c>
      <c r="F6" s="3">
        <f>VLOOKUP($A6,'CCNL Economico 2022'!$Q$7:$S$37,3,FALSE)</f>
        <v>3821.77</v>
      </c>
      <c r="G6" s="3">
        <f>VLOOKUP($A6,'CCNL Economico 2022'!$A$7:$E$38,5,FALSE)</f>
        <v>0</v>
      </c>
      <c r="H6" s="3">
        <f>ROUND((B6)/12,2)</f>
        <v>3159.03</v>
      </c>
      <c r="I6" s="3">
        <f>B6+D6+G6+H6+F6</f>
        <v>47988.119999999995</v>
      </c>
      <c r="J6" s="3">
        <f t="shared" ref="J6:J13" si="1">ROUND((C6)*34.24%+D6*24.2%,2)+ROUND((F6*29.88%+H6*29.88%+E6*29.88%),2)</f>
        <v>15518.35</v>
      </c>
      <c r="K6" s="3">
        <f>ROUND(I6*8.5%,0)</f>
        <v>4079</v>
      </c>
      <c r="L6" s="3">
        <f>I6+J6+K6</f>
        <v>67585.47</v>
      </c>
      <c r="M6" s="22">
        <f>J6+K6</f>
        <v>19597.349999999999</v>
      </c>
      <c r="N6" s="15" t="str">
        <f>A6</f>
        <v>EP8</v>
      </c>
    </row>
    <row r="7" spans="1:15" x14ac:dyDescent="0.2">
      <c r="A7" s="27" t="s">
        <v>0</v>
      </c>
      <c r="B7" s="16">
        <v>36808.32</v>
      </c>
      <c r="C7" s="33">
        <f>B7-E7</f>
        <v>29990.09</v>
      </c>
      <c r="D7" s="4">
        <v>3099</v>
      </c>
      <c r="E7" s="4">
        <f>6818.23</f>
        <v>6818.23</v>
      </c>
      <c r="F7" s="4">
        <f>VLOOKUP($A7,'CCNL Economico 2022'!$Q$7:$S$37,3,FALSE)</f>
        <v>3821.77</v>
      </c>
      <c r="G7" s="4">
        <f>VLOOKUP($A7,'CCNL Economico 2022'!$A$7:$E$38,5,FALSE)</f>
        <v>0</v>
      </c>
      <c r="H7" s="4">
        <f>ROUND((B7)/12,2)</f>
        <v>3067.36</v>
      </c>
      <c r="I7" s="4">
        <f>B7+D7+G7+H7+F7</f>
        <v>46796.45</v>
      </c>
      <c r="J7" s="4">
        <f t="shared" si="1"/>
        <v>15114.32</v>
      </c>
      <c r="K7" s="4">
        <f>ROUND(I7*8.5%,0)</f>
        <v>3978</v>
      </c>
      <c r="L7" s="4">
        <f>I7+J7+K7</f>
        <v>65888.76999999999</v>
      </c>
      <c r="M7" s="23">
        <f>J7+K7</f>
        <v>19092.32</v>
      </c>
      <c r="N7" s="16" t="str">
        <f>A7</f>
        <v>EP7</v>
      </c>
    </row>
    <row r="8" spans="1:15" x14ac:dyDescent="0.2">
      <c r="A8" s="28" t="s">
        <v>1</v>
      </c>
      <c r="B8" s="16">
        <v>35398.949999999997</v>
      </c>
      <c r="C8" s="33">
        <f t="shared" si="0"/>
        <v>28580.719999999998</v>
      </c>
      <c r="D8" s="4">
        <v>3099</v>
      </c>
      <c r="E8" s="4">
        <f>6818.23</f>
        <v>6818.23</v>
      </c>
      <c r="F8" s="4">
        <f>VLOOKUP($A8,'CCNL Economico 2022'!$Q$7:$S$37,3,FALSE)</f>
        <v>3821.77</v>
      </c>
      <c r="G8" s="4">
        <f>VLOOKUP($A8,'CCNL Economico 2022'!$A$7:$E$38,5,FALSE)</f>
        <v>0</v>
      </c>
      <c r="H8" s="4">
        <f t="shared" ref="H8:H36" si="2">ROUND((B8)/12,2)</f>
        <v>2949.91</v>
      </c>
      <c r="I8" s="4">
        <f t="shared" ref="I8:I36" si="3">B8+D8+G8+H8+F8</f>
        <v>45269.63</v>
      </c>
      <c r="J8" s="4">
        <f t="shared" si="1"/>
        <v>14596.67</v>
      </c>
      <c r="K8" s="4">
        <f>ROUND(I8*8.5%,0)</f>
        <v>3848</v>
      </c>
      <c r="L8" s="4">
        <f>I8+J8+K8</f>
        <v>63714.299999999996</v>
      </c>
      <c r="M8" s="23">
        <f>J8+K8</f>
        <v>18444.669999999998</v>
      </c>
      <c r="N8" s="16" t="str">
        <f>A8</f>
        <v>EP6</v>
      </c>
    </row>
    <row r="9" spans="1:15" x14ac:dyDescent="0.2">
      <c r="A9" s="28" t="s">
        <v>2</v>
      </c>
      <c r="B9" s="16">
        <v>34049.050000000003</v>
      </c>
      <c r="C9" s="33">
        <f t="shared" si="0"/>
        <v>27230.820000000003</v>
      </c>
      <c r="D9" s="4">
        <v>3099</v>
      </c>
      <c r="E9" s="4">
        <f>6818.23</f>
        <v>6818.23</v>
      </c>
      <c r="F9" s="4">
        <f>VLOOKUP($A9,'CCNL Economico 2022'!$Q$7:$S$37,3,FALSE)</f>
        <v>3821.77</v>
      </c>
      <c r="G9" s="4">
        <f>VLOOKUP($A9,'CCNL Economico 2022'!$A$7:$E$38,5,FALSE)</f>
        <v>0</v>
      </c>
      <c r="H9" s="4">
        <f t="shared" si="2"/>
        <v>2837.42</v>
      </c>
      <c r="I9" s="4">
        <f t="shared" si="3"/>
        <v>43807.24</v>
      </c>
      <c r="J9" s="4">
        <f t="shared" si="1"/>
        <v>14100.84</v>
      </c>
      <c r="K9" s="4">
        <f t="shared" ref="K9:K36" si="4">ROUND(I9*8.5%,0)</f>
        <v>3724</v>
      </c>
      <c r="L9" s="4">
        <f t="shared" ref="L9:L36" si="5">I9+J9+K9</f>
        <v>61632.08</v>
      </c>
      <c r="M9" s="23">
        <f t="shared" ref="M9:M36" si="6">J9+K9</f>
        <v>17824.84</v>
      </c>
      <c r="N9" s="16" t="s">
        <v>2</v>
      </c>
    </row>
    <row r="10" spans="1:15" x14ac:dyDescent="0.2">
      <c r="A10" s="27" t="s">
        <v>3</v>
      </c>
      <c r="B10" s="16">
        <v>32592.67</v>
      </c>
      <c r="C10" s="33">
        <f t="shared" si="0"/>
        <v>25774.44</v>
      </c>
      <c r="D10" s="4">
        <v>3099</v>
      </c>
      <c r="E10" s="4">
        <f>6818.23</f>
        <v>6818.23</v>
      </c>
      <c r="F10" s="4">
        <f>VLOOKUP($A10,'CCNL Economico 2022'!$Q$7:$S$37,3,FALSE)</f>
        <v>3821.77</v>
      </c>
      <c r="G10" s="4">
        <f>VLOOKUP($A10,'CCNL Economico 2022'!$A$7:$E$38,5,FALSE)</f>
        <v>0</v>
      </c>
      <c r="H10" s="4">
        <f t="shared" si="2"/>
        <v>2716.06</v>
      </c>
      <c r="I10" s="4">
        <f t="shared" si="3"/>
        <v>42229.499999999993</v>
      </c>
      <c r="J10" s="4">
        <f t="shared" si="1"/>
        <v>13565.919999999998</v>
      </c>
      <c r="K10" s="4">
        <f t="shared" si="4"/>
        <v>3590</v>
      </c>
      <c r="L10" s="4">
        <f t="shared" si="5"/>
        <v>59385.419999999991</v>
      </c>
      <c r="M10" s="23">
        <f t="shared" si="6"/>
        <v>17155.919999999998</v>
      </c>
      <c r="N10" s="16" t="s">
        <v>3</v>
      </c>
    </row>
    <row r="11" spans="1:15" x14ac:dyDescent="0.2">
      <c r="A11" s="28" t="s">
        <v>4</v>
      </c>
      <c r="B11" s="16">
        <v>30208.78</v>
      </c>
      <c r="C11" s="33">
        <f t="shared" si="0"/>
        <v>23526.519999999997</v>
      </c>
      <c r="D11" s="4">
        <v>3099</v>
      </c>
      <c r="E11" s="4">
        <f>6682.26</f>
        <v>6682.26</v>
      </c>
      <c r="F11" s="4">
        <f>VLOOKUP($A11,'CCNL Economico 2022'!$Q$7:$S$37,3,FALSE)</f>
        <v>2909.4</v>
      </c>
      <c r="G11" s="4">
        <f>VLOOKUP($A11,'CCNL Economico 2022'!$A$7:$E$38,5,FALSE)</f>
        <v>0</v>
      </c>
      <c r="H11" s="4">
        <f t="shared" si="2"/>
        <v>2517.4</v>
      </c>
      <c r="I11" s="4">
        <f t="shared" si="3"/>
        <v>38734.58</v>
      </c>
      <c r="J11" s="4">
        <f t="shared" si="1"/>
        <v>12423.630000000001</v>
      </c>
      <c r="K11" s="4">
        <f t="shared" si="4"/>
        <v>3292</v>
      </c>
      <c r="L11" s="4">
        <f t="shared" si="5"/>
        <v>54450.210000000006</v>
      </c>
      <c r="M11" s="23">
        <f t="shared" si="6"/>
        <v>15715.630000000001</v>
      </c>
      <c r="N11" s="16" t="s">
        <v>4</v>
      </c>
    </row>
    <row r="12" spans="1:15" x14ac:dyDescent="0.2">
      <c r="A12" s="28" t="s">
        <v>5</v>
      </c>
      <c r="B12" s="16">
        <v>28593.439999999999</v>
      </c>
      <c r="C12" s="33">
        <f t="shared" si="0"/>
        <v>21911.18</v>
      </c>
      <c r="D12" s="4">
        <v>3099</v>
      </c>
      <c r="E12" s="4">
        <f>6682.26</f>
        <v>6682.26</v>
      </c>
      <c r="F12" s="4">
        <f>VLOOKUP($A12,'CCNL Economico 2022'!$Q$7:$S$37,3,FALSE)</f>
        <v>2909.4</v>
      </c>
      <c r="G12" s="4">
        <f>VLOOKUP($A12,'CCNL Economico 2022'!$A$7:$E$38,5,FALSE)</f>
        <v>0</v>
      </c>
      <c r="H12" s="4">
        <f t="shared" si="2"/>
        <v>2382.79</v>
      </c>
      <c r="I12" s="4">
        <f t="shared" si="3"/>
        <v>36984.629999999997</v>
      </c>
      <c r="J12" s="4">
        <f t="shared" si="1"/>
        <v>11830.32</v>
      </c>
      <c r="K12" s="4">
        <f t="shared" si="4"/>
        <v>3144</v>
      </c>
      <c r="L12" s="4">
        <f t="shared" si="5"/>
        <v>51958.95</v>
      </c>
      <c r="M12" s="23">
        <f t="shared" si="6"/>
        <v>14974.32</v>
      </c>
      <c r="N12" s="16" t="s">
        <v>5</v>
      </c>
    </row>
    <row r="13" spans="1:15" ht="13.5" thickBot="1" x14ac:dyDescent="0.25">
      <c r="A13" s="29" t="s">
        <v>6</v>
      </c>
      <c r="B13" s="36">
        <v>26890.05</v>
      </c>
      <c r="C13" s="35">
        <f t="shared" si="0"/>
        <v>20207.79</v>
      </c>
      <c r="D13" s="5">
        <v>3099</v>
      </c>
      <c r="E13" s="5">
        <f>6682.26</f>
        <v>6682.26</v>
      </c>
      <c r="F13" s="5">
        <f>VLOOKUP($A13,'CCNL Economico 2022'!$Q$7:$S$37,3,FALSE)</f>
        <v>2909.4</v>
      </c>
      <c r="G13" s="5">
        <f>VLOOKUP($A13,'CCNL Economico 2022'!$A$7:$E$38,5,FALSE)</f>
        <v>0</v>
      </c>
      <c r="H13" s="5">
        <f t="shared" si="2"/>
        <v>2240.84</v>
      </c>
      <c r="I13" s="5">
        <f t="shared" si="3"/>
        <v>35139.29</v>
      </c>
      <c r="J13" s="5">
        <f t="shared" si="1"/>
        <v>11204.66</v>
      </c>
      <c r="K13" s="5">
        <f t="shared" si="4"/>
        <v>2987</v>
      </c>
      <c r="L13" s="5">
        <f t="shared" si="5"/>
        <v>49330.95</v>
      </c>
      <c r="M13" s="24">
        <f t="shared" si="6"/>
        <v>14191.66</v>
      </c>
      <c r="N13" s="17" t="s">
        <v>6</v>
      </c>
    </row>
    <row r="14" spans="1:15" x14ac:dyDescent="0.2">
      <c r="A14" s="26" t="s">
        <v>44</v>
      </c>
      <c r="B14" s="15">
        <v>31062.06</v>
      </c>
      <c r="C14" s="34">
        <f t="shared" si="0"/>
        <v>24516.82</v>
      </c>
      <c r="D14" s="3"/>
      <c r="E14" s="3">
        <f>6545.24</f>
        <v>6545.24</v>
      </c>
      <c r="F14" s="3">
        <f>VLOOKUP($A14,'CCNL Economico 2022'!$Q$7:$S$37,3,FALSE)</f>
        <v>2422.16</v>
      </c>
      <c r="G14" s="3">
        <f>VLOOKUP($A14,'CCNL Economico 2022'!$A$7:$E$38,5,FALSE)</f>
        <v>0</v>
      </c>
      <c r="H14" s="3">
        <f t="shared" si="2"/>
        <v>2588.5100000000002</v>
      </c>
      <c r="I14" s="3">
        <f t="shared" si="3"/>
        <v>36072.729999999996</v>
      </c>
      <c r="J14" s="3">
        <f>+I14*29.88%</f>
        <v>10778.531723999999</v>
      </c>
      <c r="K14" s="3">
        <f>ROUND(I14*8.5%,0)</f>
        <v>3066</v>
      </c>
      <c r="L14" s="3">
        <f>I14+J14+K14</f>
        <v>49917.261723999996</v>
      </c>
      <c r="M14" s="22">
        <f>J14+K14</f>
        <v>13844.531723999999</v>
      </c>
      <c r="N14" s="19" t="str">
        <f>A14</f>
        <v>D8</v>
      </c>
    </row>
    <row r="15" spans="1:15" x14ac:dyDescent="0.2">
      <c r="A15" s="27" t="s">
        <v>7</v>
      </c>
      <c r="B15" s="16">
        <v>30162.06</v>
      </c>
      <c r="C15" s="33">
        <f>B15-E15</f>
        <v>23616.82</v>
      </c>
      <c r="D15" s="4"/>
      <c r="E15" s="4">
        <f t="shared" ref="E15:E21" si="7">6545.24</f>
        <v>6545.24</v>
      </c>
      <c r="F15" s="4">
        <f>VLOOKUP($A15,'CCNL Economico 2022'!$Q$7:$S$37,3,FALSE)</f>
        <v>2422.16</v>
      </c>
      <c r="G15" s="4">
        <f>VLOOKUP($A15,'CCNL Economico 2022'!$A$7:$E$38,5,FALSE)</f>
        <v>0</v>
      </c>
      <c r="H15" s="4">
        <f>ROUND((B15)/12,2)</f>
        <v>2513.5100000000002</v>
      </c>
      <c r="I15" s="4">
        <f>B15+D15+G15+H15+F15</f>
        <v>35097.729999999996</v>
      </c>
      <c r="J15" s="4">
        <f t="shared" ref="J15:J19" si="8">+I15*29.88%</f>
        <v>10487.201723999999</v>
      </c>
      <c r="K15" s="4">
        <f>ROUND(I15*8.5%,0)</f>
        <v>2983</v>
      </c>
      <c r="L15" s="4">
        <f>I15+J15+K15</f>
        <v>48567.931723999995</v>
      </c>
      <c r="M15" s="23">
        <f>J15+K15</f>
        <v>13470.201723999999</v>
      </c>
      <c r="N15" s="20" t="str">
        <f>A15</f>
        <v>D7</v>
      </c>
    </row>
    <row r="16" spans="1:15" x14ac:dyDescent="0.2">
      <c r="A16" s="28" t="s">
        <v>8</v>
      </c>
      <c r="B16" s="16">
        <v>29105.68</v>
      </c>
      <c r="C16" s="33">
        <f t="shared" si="0"/>
        <v>22560.440000000002</v>
      </c>
      <c r="D16" s="4"/>
      <c r="E16" s="4">
        <f t="shared" si="7"/>
        <v>6545.24</v>
      </c>
      <c r="F16" s="4">
        <f>VLOOKUP($A16,'CCNL Economico 2022'!$Q$7:$S$37,3,FALSE)</f>
        <v>2422.16</v>
      </c>
      <c r="G16" s="4">
        <f>VLOOKUP($A16,'CCNL Economico 2022'!$A$7:$E$38,5,FALSE)</f>
        <v>0</v>
      </c>
      <c r="H16" s="4">
        <f t="shared" si="2"/>
        <v>2425.4699999999998</v>
      </c>
      <c r="I16" s="4">
        <f t="shared" si="3"/>
        <v>33953.31</v>
      </c>
      <c r="J16" s="4">
        <f t="shared" si="8"/>
        <v>10145.249028</v>
      </c>
      <c r="K16" s="4">
        <f>ROUND(I16*8.5%,0)</f>
        <v>2886</v>
      </c>
      <c r="L16" s="4">
        <f>I16+J16+K16</f>
        <v>46984.559027999996</v>
      </c>
      <c r="M16" s="23">
        <f>J16+K16</f>
        <v>13031.249028</v>
      </c>
      <c r="N16" s="20" t="str">
        <f>A16</f>
        <v>D6</v>
      </c>
    </row>
    <row r="17" spans="1:14" x14ac:dyDescent="0.2">
      <c r="A17" s="28" t="s">
        <v>9</v>
      </c>
      <c r="B17" s="16">
        <v>28091.7</v>
      </c>
      <c r="C17" s="33">
        <f t="shared" si="0"/>
        <v>21546.46</v>
      </c>
      <c r="D17" s="4"/>
      <c r="E17" s="4">
        <f t="shared" si="7"/>
        <v>6545.24</v>
      </c>
      <c r="F17" s="4">
        <f>VLOOKUP($A17,'CCNL Economico 2022'!$Q$7:$S$37,3,FALSE)</f>
        <v>2422.16</v>
      </c>
      <c r="G17" s="4">
        <f>VLOOKUP($A17,'CCNL Economico 2022'!$A$7:$E$38,5,FALSE)</f>
        <v>0</v>
      </c>
      <c r="H17" s="4">
        <f t="shared" si="2"/>
        <v>2340.98</v>
      </c>
      <c r="I17" s="4">
        <f t="shared" si="3"/>
        <v>32854.839999999997</v>
      </c>
      <c r="J17" s="4">
        <f t="shared" si="8"/>
        <v>9817.0261919999994</v>
      </c>
      <c r="K17" s="4">
        <f t="shared" si="4"/>
        <v>2793</v>
      </c>
      <c r="L17" s="4">
        <f t="shared" si="5"/>
        <v>45464.866191999994</v>
      </c>
      <c r="M17" s="23">
        <f t="shared" si="6"/>
        <v>12610.026191999999</v>
      </c>
      <c r="N17" s="20" t="s">
        <v>9</v>
      </c>
    </row>
    <row r="18" spans="1:14" x14ac:dyDescent="0.2">
      <c r="A18" s="28" t="s">
        <v>10</v>
      </c>
      <c r="B18" s="16">
        <v>27123.48</v>
      </c>
      <c r="C18" s="33">
        <f t="shared" si="0"/>
        <v>20578.239999999998</v>
      </c>
      <c r="D18" s="4"/>
      <c r="E18" s="4">
        <f t="shared" si="7"/>
        <v>6545.24</v>
      </c>
      <c r="F18" s="4">
        <f>VLOOKUP($A18,'CCNL Economico 2022'!$Q$7:$S$37,3,FALSE)</f>
        <v>2422.16</v>
      </c>
      <c r="G18" s="4">
        <f>VLOOKUP($A18,'CCNL Economico 2022'!$A$7:$E$38,5,FALSE)</f>
        <v>0</v>
      </c>
      <c r="H18" s="4">
        <f t="shared" si="2"/>
        <v>2260.29</v>
      </c>
      <c r="I18" s="4">
        <f t="shared" si="3"/>
        <v>31805.93</v>
      </c>
      <c r="J18" s="4">
        <f t="shared" si="8"/>
        <v>9503.6118839999999</v>
      </c>
      <c r="K18" s="4">
        <f t="shared" si="4"/>
        <v>2704</v>
      </c>
      <c r="L18" s="4">
        <f t="shared" si="5"/>
        <v>44013.541883999998</v>
      </c>
      <c r="M18" s="23">
        <f t="shared" si="6"/>
        <v>12207.611884</v>
      </c>
      <c r="N18" s="20" t="s">
        <v>10</v>
      </c>
    </row>
    <row r="19" spans="1:14" s="6" customFormat="1" x14ac:dyDescent="0.2">
      <c r="A19" s="28" t="s">
        <v>11</v>
      </c>
      <c r="B19" s="16">
        <v>25811.93</v>
      </c>
      <c r="C19" s="33">
        <f t="shared" si="0"/>
        <v>19266.690000000002</v>
      </c>
      <c r="D19" s="4"/>
      <c r="E19" s="4">
        <f t="shared" si="7"/>
        <v>6545.24</v>
      </c>
      <c r="F19" s="4">
        <f>VLOOKUP($A19,'CCNL Economico 2022'!$Q$7:$S$37,3,FALSE)</f>
        <v>2422.16</v>
      </c>
      <c r="G19" s="4">
        <f>VLOOKUP($A19,'CCNL Economico 2022'!$A$7:$E$38,5,FALSE)</f>
        <v>0</v>
      </c>
      <c r="H19" s="4">
        <f t="shared" si="2"/>
        <v>2150.9899999999998</v>
      </c>
      <c r="I19" s="4">
        <f t="shared" si="3"/>
        <v>30385.079999999998</v>
      </c>
      <c r="J19" s="4">
        <f t="shared" si="8"/>
        <v>9079.0619040000001</v>
      </c>
      <c r="K19" s="4">
        <f t="shared" si="4"/>
        <v>2583</v>
      </c>
      <c r="L19" s="4">
        <f t="shared" si="5"/>
        <v>42047.141903999996</v>
      </c>
      <c r="M19" s="23">
        <f t="shared" si="6"/>
        <v>11662.061904</v>
      </c>
      <c r="N19" s="20" t="s">
        <v>11</v>
      </c>
    </row>
    <row r="20" spans="1:14" s="6" customFormat="1" x14ac:dyDescent="0.2">
      <c r="A20" s="28" t="s">
        <v>12</v>
      </c>
      <c r="B20" s="16">
        <v>24736.959999999999</v>
      </c>
      <c r="C20" s="33">
        <f t="shared" si="0"/>
        <v>18191.72</v>
      </c>
      <c r="D20" s="4"/>
      <c r="E20" s="4">
        <f t="shared" si="7"/>
        <v>6545.24</v>
      </c>
      <c r="F20" s="4">
        <f>VLOOKUP($A20,'CCNL Economico 2022'!$Q$7:$S$37,3,FALSE)</f>
        <v>2422.16</v>
      </c>
      <c r="G20" s="4">
        <f>VLOOKUP($A20,'CCNL Economico 2022'!$A$7:$E$38,5,FALSE)</f>
        <v>84</v>
      </c>
      <c r="H20" s="4">
        <f t="shared" si="2"/>
        <v>2061.41</v>
      </c>
      <c r="I20" s="4">
        <f t="shared" si="3"/>
        <v>29304.53</v>
      </c>
      <c r="J20" s="4">
        <f>+(+I20-G20)*29.88%+G20*24.2%</f>
        <v>8751.422364</v>
      </c>
      <c r="K20" s="4">
        <f t="shared" si="4"/>
        <v>2491</v>
      </c>
      <c r="L20" s="4">
        <f t="shared" si="5"/>
        <v>40546.952363999997</v>
      </c>
      <c r="M20" s="23">
        <f t="shared" si="6"/>
        <v>11242.422364</v>
      </c>
      <c r="N20" s="20" t="s">
        <v>12</v>
      </c>
    </row>
    <row r="21" spans="1:14" s="6" customFormat="1" ht="13.5" thickBot="1" x14ac:dyDescent="0.25">
      <c r="A21" s="29" t="s">
        <v>13</v>
      </c>
      <c r="B21" s="36">
        <v>23806.83</v>
      </c>
      <c r="C21" s="35">
        <f t="shared" si="0"/>
        <v>17261.590000000004</v>
      </c>
      <c r="D21" s="5"/>
      <c r="E21" s="5">
        <f t="shared" si="7"/>
        <v>6545.24</v>
      </c>
      <c r="F21" s="5">
        <f>VLOOKUP($A21,'CCNL Economico 2022'!$Q$7:$S$37,3,FALSE)</f>
        <v>2422.16</v>
      </c>
      <c r="G21" s="5">
        <f>VLOOKUP($A21,'CCNL Economico 2022'!$A$7:$E$38,5,FALSE)</f>
        <v>108</v>
      </c>
      <c r="H21" s="5">
        <f t="shared" si="2"/>
        <v>1983.9</v>
      </c>
      <c r="I21" s="5">
        <f t="shared" si="3"/>
        <v>28320.890000000003</v>
      </c>
      <c r="J21" s="5">
        <f t="shared" ref="J21:J36" si="9">+(+I21-G21)*29.88%+G21*24.2%</f>
        <v>8456.1475320000009</v>
      </c>
      <c r="K21" s="5">
        <f t="shared" si="4"/>
        <v>2407</v>
      </c>
      <c r="L21" s="5">
        <f t="shared" si="5"/>
        <v>39184.037532000002</v>
      </c>
      <c r="M21" s="24">
        <f t="shared" si="6"/>
        <v>10863.147532000001</v>
      </c>
      <c r="N21" s="21" t="s">
        <v>13</v>
      </c>
    </row>
    <row r="22" spans="1:14" s="6" customFormat="1" x14ac:dyDescent="0.2">
      <c r="A22" s="26" t="s">
        <v>45</v>
      </c>
      <c r="B22" s="15">
        <v>25774.46</v>
      </c>
      <c r="C22" s="34">
        <f t="shared" si="0"/>
        <v>19324.379999999997</v>
      </c>
      <c r="D22" s="3"/>
      <c r="E22" s="3">
        <f>6450.08</f>
        <v>6450.08</v>
      </c>
      <c r="F22" s="3">
        <f>VLOOKUP($A22,'CCNL Economico 2022'!$Q$7:$S$37,3,FALSE)</f>
        <v>1693.97</v>
      </c>
      <c r="G22" s="3">
        <f>VLOOKUP($A22,'CCNL Economico 2022'!$A$7:$E$38,5,FALSE)</f>
        <v>0</v>
      </c>
      <c r="H22" s="3">
        <f t="shared" si="2"/>
        <v>2147.87</v>
      </c>
      <c r="I22" s="3">
        <f t="shared" si="3"/>
        <v>29616.3</v>
      </c>
      <c r="J22" s="3">
        <f t="shared" si="9"/>
        <v>8849.3504400000002</v>
      </c>
      <c r="K22" s="3">
        <f>ROUND(I22*8.5%,0)</f>
        <v>2517</v>
      </c>
      <c r="L22" s="3">
        <f>I22+J22+K22</f>
        <v>40982.650439999998</v>
      </c>
      <c r="M22" s="22">
        <f>J22+K22</f>
        <v>11366.35044</v>
      </c>
      <c r="N22" s="19" t="str">
        <f>A22</f>
        <v>C8</v>
      </c>
    </row>
    <row r="23" spans="1:14" s="6" customFormat="1" x14ac:dyDescent="0.2">
      <c r="A23" s="27" t="s">
        <v>14</v>
      </c>
      <c r="B23" s="16">
        <v>24974.46</v>
      </c>
      <c r="C23" s="33">
        <f>B23-E23</f>
        <v>18524.379999999997</v>
      </c>
      <c r="D23" s="4"/>
      <c r="E23" s="4">
        <f>6450.08</f>
        <v>6450.08</v>
      </c>
      <c r="F23" s="4">
        <f>VLOOKUP($A23,'CCNL Economico 2022'!$Q$7:$S$37,3,FALSE)</f>
        <v>1693.97</v>
      </c>
      <c r="G23" s="4">
        <f>VLOOKUP($A23,'CCNL Economico 2022'!$A$7:$E$38,5,FALSE)</f>
        <v>60</v>
      </c>
      <c r="H23" s="4">
        <f>ROUND((B23)/12,2)</f>
        <v>2081.21</v>
      </c>
      <c r="I23" s="4">
        <f>B23+D23+G23+H23+F23</f>
        <v>28809.64</v>
      </c>
      <c r="J23" s="4">
        <f t="shared" si="9"/>
        <v>8604.912432000001</v>
      </c>
      <c r="K23" s="4">
        <f>ROUND(I23*8.5%,0)</f>
        <v>2449</v>
      </c>
      <c r="L23" s="4">
        <f>I23+J23+K23</f>
        <v>39863.552431999997</v>
      </c>
      <c r="M23" s="23">
        <f>J23+K23</f>
        <v>11053.912432000001</v>
      </c>
      <c r="N23" s="20" t="str">
        <f>A23</f>
        <v>C7</v>
      </c>
    </row>
    <row r="24" spans="1:14" s="6" customFormat="1" x14ac:dyDescent="0.2">
      <c r="A24" s="28" t="s">
        <v>15</v>
      </c>
      <c r="B24" s="16">
        <v>24185.16</v>
      </c>
      <c r="C24" s="33">
        <f t="shared" si="0"/>
        <v>17735.080000000002</v>
      </c>
      <c r="D24" s="4"/>
      <c r="E24" s="4">
        <f>6450.08</f>
        <v>6450.08</v>
      </c>
      <c r="F24" s="4">
        <f>VLOOKUP($A24,'CCNL Economico 2022'!$Q$7:$S$37,3,FALSE)</f>
        <v>1693.97</v>
      </c>
      <c r="G24" s="4">
        <f>VLOOKUP($A24,'CCNL Economico 2022'!$A$7:$E$38,5,FALSE)</f>
        <v>96</v>
      </c>
      <c r="H24" s="4">
        <f t="shared" si="2"/>
        <v>2015.43</v>
      </c>
      <c r="I24" s="4">
        <f t="shared" si="3"/>
        <v>27990.560000000001</v>
      </c>
      <c r="J24" s="4">
        <f t="shared" si="9"/>
        <v>8358.1265280000007</v>
      </c>
      <c r="K24" s="4">
        <f>ROUND(I24*8.5%,0)</f>
        <v>2379</v>
      </c>
      <c r="L24" s="4">
        <f>I24+J24+K24</f>
        <v>38727.686528000006</v>
      </c>
      <c r="M24" s="23">
        <f>J24+K24</f>
        <v>10737.126528000001</v>
      </c>
      <c r="N24" s="20" t="str">
        <f>A24</f>
        <v>C6</v>
      </c>
    </row>
    <row r="25" spans="1:14" s="6" customFormat="1" x14ac:dyDescent="0.2">
      <c r="A25" s="28" t="s">
        <v>16</v>
      </c>
      <c r="B25" s="16">
        <v>23424.12</v>
      </c>
      <c r="C25" s="33">
        <f t="shared" si="0"/>
        <v>16974.04</v>
      </c>
      <c r="D25" s="4"/>
      <c r="E25" s="4">
        <f>6450.08</f>
        <v>6450.08</v>
      </c>
      <c r="F25" s="4">
        <f>VLOOKUP($A25,'CCNL Economico 2022'!$Q$7:$S$37,3,FALSE)</f>
        <v>1693.97</v>
      </c>
      <c r="G25" s="4">
        <f>VLOOKUP($A25,'CCNL Economico 2022'!$A$7:$E$38,5,FALSE)</f>
        <v>120</v>
      </c>
      <c r="H25" s="4">
        <f t="shared" si="2"/>
        <v>1952.01</v>
      </c>
      <c r="I25" s="4">
        <f t="shared" si="3"/>
        <v>27190.1</v>
      </c>
      <c r="J25" s="4">
        <f t="shared" si="9"/>
        <v>8117.5858799999996</v>
      </c>
      <c r="K25" s="4">
        <f t="shared" si="4"/>
        <v>2311</v>
      </c>
      <c r="L25" s="4">
        <f>I25+J25+K25</f>
        <v>37618.685879999997</v>
      </c>
      <c r="M25" s="23">
        <f t="shared" si="6"/>
        <v>10428.585879999999</v>
      </c>
      <c r="N25" s="20" t="s">
        <v>16</v>
      </c>
    </row>
    <row r="26" spans="1:14" s="6" customFormat="1" x14ac:dyDescent="0.2">
      <c r="A26" s="27" t="s">
        <v>17</v>
      </c>
      <c r="B26" s="16">
        <v>22692.959999999999</v>
      </c>
      <c r="C26" s="33">
        <f t="shared" si="0"/>
        <v>16242.88</v>
      </c>
      <c r="D26" s="4"/>
      <c r="E26" s="4">
        <f>6450.08</f>
        <v>6450.08</v>
      </c>
      <c r="F26" s="4">
        <f>VLOOKUP($A26,'CCNL Economico 2022'!$Q$7:$S$37,3,FALSE)</f>
        <v>1693.97</v>
      </c>
      <c r="G26" s="4">
        <f>VLOOKUP($A26,'CCNL Economico 2022'!$A$7:$E$38,5,FALSE)</f>
        <v>156</v>
      </c>
      <c r="H26" s="4">
        <f t="shared" si="2"/>
        <v>1891.08</v>
      </c>
      <c r="I26" s="4">
        <f t="shared" si="3"/>
        <v>26434.010000000002</v>
      </c>
      <c r="J26" s="4">
        <f t="shared" si="9"/>
        <v>7889.6213880000014</v>
      </c>
      <c r="K26" s="4">
        <f t="shared" si="4"/>
        <v>2247</v>
      </c>
      <c r="L26" s="4">
        <f t="shared" si="5"/>
        <v>36570.631388000002</v>
      </c>
      <c r="M26" s="23">
        <f t="shared" si="6"/>
        <v>10136.621388000001</v>
      </c>
      <c r="N26" s="20" t="s">
        <v>17</v>
      </c>
    </row>
    <row r="27" spans="1:14" s="6" customFormat="1" x14ac:dyDescent="0.2">
      <c r="A27" s="28" t="s">
        <v>18</v>
      </c>
      <c r="B27" s="16">
        <v>21583.08</v>
      </c>
      <c r="C27" s="33">
        <f t="shared" si="0"/>
        <v>15210.440000000002</v>
      </c>
      <c r="D27" s="4"/>
      <c r="E27" s="4">
        <f>6372.64</f>
        <v>6372.64</v>
      </c>
      <c r="F27" s="4">
        <f>VLOOKUP($A27,'CCNL Economico 2022'!$Q$7:$S$37,3,FALSE)</f>
        <v>1693.97</v>
      </c>
      <c r="G27" s="4">
        <f>VLOOKUP($A27,'CCNL Economico 2022'!$A$7:$E$38,5,FALSE)</f>
        <v>192</v>
      </c>
      <c r="H27" s="4">
        <f t="shared" si="2"/>
        <v>1798.59</v>
      </c>
      <c r="I27" s="4">
        <f t="shared" si="3"/>
        <v>25267.640000000003</v>
      </c>
      <c r="J27" s="4">
        <f t="shared" si="9"/>
        <v>7539.0652320000008</v>
      </c>
      <c r="K27" s="4">
        <f t="shared" si="4"/>
        <v>2148</v>
      </c>
      <c r="L27" s="4">
        <f t="shared" si="5"/>
        <v>34954.705232000008</v>
      </c>
      <c r="M27" s="23">
        <f t="shared" si="6"/>
        <v>9687.0652320000008</v>
      </c>
      <c r="N27" s="20" t="s">
        <v>18</v>
      </c>
    </row>
    <row r="28" spans="1:14" s="6" customFormat="1" x14ac:dyDescent="0.2">
      <c r="A28" s="28" t="s">
        <v>19</v>
      </c>
      <c r="B28" s="16">
        <v>20750.759999999998</v>
      </c>
      <c r="C28" s="33">
        <f t="shared" si="0"/>
        <v>14378.119999999999</v>
      </c>
      <c r="D28" s="4"/>
      <c r="E28" s="4">
        <f>6372.64</f>
        <v>6372.64</v>
      </c>
      <c r="F28" s="4">
        <f>VLOOKUP($A28,'CCNL Economico 2022'!$Q$7:$S$37,3,FALSE)</f>
        <v>1693.97</v>
      </c>
      <c r="G28" s="4">
        <f>VLOOKUP($A28,'CCNL Economico 2022'!$A$7:$E$38,5,FALSE)</f>
        <v>228</v>
      </c>
      <c r="H28" s="4">
        <f t="shared" si="2"/>
        <v>1729.23</v>
      </c>
      <c r="I28" s="4">
        <f t="shared" si="3"/>
        <v>24401.96</v>
      </c>
      <c r="J28" s="4">
        <f t="shared" si="9"/>
        <v>7278.3552480000008</v>
      </c>
      <c r="K28" s="4">
        <f t="shared" si="4"/>
        <v>2074</v>
      </c>
      <c r="L28" s="4">
        <f t="shared" si="5"/>
        <v>33754.315247999999</v>
      </c>
      <c r="M28" s="23">
        <f t="shared" si="6"/>
        <v>9352.3552479999998</v>
      </c>
      <c r="N28" s="20" t="s">
        <v>19</v>
      </c>
    </row>
    <row r="29" spans="1:14" s="6" customFormat="1" ht="13.5" thickBot="1" x14ac:dyDescent="0.25">
      <c r="A29" s="29" t="s">
        <v>20</v>
      </c>
      <c r="B29" s="36">
        <v>20354.2</v>
      </c>
      <c r="C29" s="35">
        <f t="shared" si="0"/>
        <v>13981.560000000001</v>
      </c>
      <c r="D29" s="5"/>
      <c r="E29" s="5">
        <f>6372.64</f>
        <v>6372.64</v>
      </c>
      <c r="F29" s="5">
        <f>VLOOKUP($A29,'CCNL Economico 2022'!$Q$7:$S$37,3,FALSE)</f>
        <v>1693.97</v>
      </c>
      <c r="G29" s="5">
        <f>VLOOKUP($A29,'CCNL Economico 2022'!$A$7:$E$38,5,FALSE)</f>
        <v>240</v>
      </c>
      <c r="H29" s="5">
        <f t="shared" si="2"/>
        <v>1696.18</v>
      </c>
      <c r="I29" s="5">
        <f t="shared" si="3"/>
        <v>23984.350000000002</v>
      </c>
      <c r="J29" s="5">
        <f t="shared" si="9"/>
        <v>7152.8917800000008</v>
      </c>
      <c r="K29" s="5">
        <f t="shared" si="4"/>
        <v>2039</v>
      </c>
      <c r="L29" s="5">
        <f t="shared" si="5"/>
        <v>33176.241780000004</v>
      </c>
      <c r="M29" s="24">
        <f t="shared" si="6"/>
        <v>9191.8917800000017</v>
      </c>
      <c r="N29" s="21" t="s">
        <v>20</v>
      </c>
    </row>
    <row r="30" spans="1:14" s="6" customFormat="1" x14ac:dyDescent="0.2">
      <c r="A30" s="26" t="s">
        <v>31</v>
      </c>
      <c r="B30" s="15">
        <v>22930.720000000001</v>
      </c>
      <c r="C30" s="34">
        <f t="shared" si="0"/>
        <v>16597.760000000002</v>
      </c>
      <c r="D30" s="3"/>
      <c r="E30" s="3">
        <f>6332.96</f>
        <v>6332.96</v>
      </c>
      <c r="F30" s="3">
        <f>VLOOKUP($A30,'CCNL Economico 2022'!$Q$7:$S$37,3,FALSE)</f>
        <v>1246.1599999999999</v>
      </c>
      <c r="G30" s="3">
        <f>VLOOKUP($A30,'CCNL Economico 2022'!$A$7:$E$38,5,FALSE)</f>
        <v>0</v>
      </c>
      <c r="H30" s="3">
        <f t="shared" si="2"/>
        <v>1910.89</v>
      </c>
      <c r="I30" s="3">
        <f t="shared" si="3"/>
        <v>26087.77</v>
      </c>
      <c r="J30" s="3">
        <f t="shared" si="9"/>
        <v>7795.0256760000002</v>
      </c>
      <c r="K30" s="3">
        <f>ROUND(I30*8.5%,0)</f>
        <v>2217</v>
      </c>
      <c r="L30" s="3">
        <f>I30+J30+K30</f>
        <v>36099.795676000002</v>
      </c>
      <c r="M30" s="22">
        <f>J30+K30</f>
        <v>10012.025676000001</v>
      </c>
      <c r="N30" s="19" t="str">
        <f>A30</f>
        <v>B7</v>
      </c>
    </row>
    <row r="31" spans="1:14" s="6" customFormat="1" ht="12" customHeight="1" x14ac:dyDescent="0.2">
      <c r="A31" s="27" t="s">
        <v>21</v>
      </c>
      <c r="B31" s="16">
        <v>22230.720000000001</v>
      </c>
      <c r="C31" s="33">
        <f>B31-E31</f>
        <v>15897.760000000002</v>
      </c>
      <c r="D31" s="4"/>
      <c r="E31" s="4">
        <f>6332.96</f>
        <v>6332.96</v>
      </c>
      <c r="F31" s="4">
        <f>VLOOKUP($A31,'CCNL Economico 2022'!$Q$7:$S$37,3,FALSE)</f>
        <v>1246.1599999999999</v>
      </c>
      <c r="G31" s="4">
        <f>VLOOKUP($A31,'CCNL Economico 2022'!$A$7:$E$38,5,FALSE)</f>
        <v>168</v>
      </c>
      <c r="H31" s="4">
        <f>ROUND((B31)/12,2)</f>
        <v>1852.56</v>
      </c>
      <c r="I31" s="4">
        <f>B31+D31+G31+H31+F31</f>
        <v>25497.440000000002</v>
      </c>
      <c r="J31" s="4">
        <f t="shared" si="9"/>
        <v>7609.0926720000007</v>
      </c>
      <c r="K31" s="4">
        <f>ROUND(I31*8.5%,0)</f>
        <v>2167</v>
      </c>
      <c r="L31" s="4">
        <f>I31+J31+K31</f>
        <v>35273.532672000001</v>
      </c>
      <c r="M31" s="23">
        <f>J31+K31</f>
        <v>9776.0926720000007</v>
      </c>
      <c r="N31" s="20" t="str">
        <f>A31</f>
        <v>B6</v>
      </c>
    </row>
    <row r="32" spans="1:14" s="6" customFormat="1" ht="12" customHeight="1" x14ac:dyDescent="0.2">
      <c r="A32" s="27" t="s">
        <v>22</v>
      </c>
      <c r="B32" s="16">
        <v>21403.62</v>
      </c>
      <c r="C32" s="33">
        <f t="shared" si="0"/>
        <v>15070.66</v>
      </c>
      <c r="D32" s="4"/>
      <c r="E32" s="4">
        <f>6332.96</f>
        <v>6332.96</v>
      </c>
      <c r="F32" s="4">
        <f>VLOOKUP($A32,'CCNL Economico 2022'!$Q$7:$S$37,3,FALSE)</f>
        <v>1246.1599999999999</v>
      </c>
      <c r="G32" s="4">
        <f>VLOOKUP($A32,'CCNL Economico 2022'!$A$7:$E$38,5,FALSE)</f>
        <v>204</v>
      </c>
      <c r="H32" s="4">
        <f t="shared" si="2"/>
        <v>1783.64</v>
      </c>
      <c r="I32" s="4">
        <f t="shared" si="3"/>
        <v>24637.42</v>
      </c>
      <c r="J32" s="4">
        <f t="shared" si="9"/>
        <v>7350.0738959999999</v>
      </c>
      <c r="K32" s="4">
        <f>ROUND(I32*8.5%,0)</f>
        <v>2094</v>
      </c>
      <c r="L32" s="4">
        <f>I32+J32+K32</f>
        <v>34081.493896</v>
      </c>
      <c r="M32" s="23">
        <f>J32+K32</f>
        <v>9444.0738959999999</v>
      </c>
      <c r="N32" s="20" t="str">
        <f>A32</f>
        <v>B5</v>
      </c>
    </row>
    <row r="33" spans="1:14" s="6" customFormat="1" x14ac:dyDescent="0.2">
      <c r="A33" s="27" t="s">
        <v>23</v>
      </c>
      <c r="B33" s="16">
        <v>20611.240000000002</v>
      </c>
      <c r="C33" s="33">
        <f t="shared" si="0"/>
        <v>14278.280000000002</v>
      </c>
      <c r="D33" s="4"/>
      <c r="E33" s="4">
        <f>6332.96</f>
        <v>6332.96</v>
      </c>
      <c r="F33" s="4">
        <f>VLOOKUP($A33,'CCNL Economico 2022'!$Q$7:$S$37,3,FALSE)</f>
        <v>1246.1599999999999</v>
      </c>
      <c r="G33" s="4">
        <f>VLOOKUP($A33,'CCNL Economico 2022'!$A$7:$E$38,5,FALSE)</f>
        <v>228</v>
      </c>
      <c r="H33" s="4">
        <f t="shared" si="2"/>
        <v>1717.6</v>
      </c>
      <c r="I33" s="4">
        <f t="shared" si="3"/>
        <v>23803</v>
      </c>
      <c r="J33" s="4">
        <f t="shared" si="9"/>
        <v>7099.3860000000004</v>
      </c>
      <c r="K33" s="4">
        <f t="shared" si="4"/>
        <v>2023</v>
      </c>
      <c r="L33" s="4">
        <f t="shared" si="5"/>
        <v>32925.385999999999</v>
      </c>
      <c r="M33" s="23">
        <f t="shared" si="6"/>
        <v>9122.3860000000004</v>
      </c>
      <c r="N33" s="20" t="s">
        <v>23</v>
      </c>
    </row>
    <row r="34" spans="1:14" s="6" customFormat="1" x14ac:dyDescent="0.2">
      <c r="A34" s="30" t="s">
        <v>24</v>
      </c>
      <c r="B34" s="16">
        <v>19733.830000000002</v>
      </c>
      <c r="C34" s="33">
        <f t="shared" si="0"/>
        <v>13400.870000000003</v>
      </c>
      <c r="D34" s="4"/>
      <c r="E34" s="4">
        <f>6332.96</f>
        <v>6332.96</v>
      </c>
      <c r="F34" s="4">
        <f>VLOOKUP($A34,'CCNL Economico 2022'!$Q$7:$S$37,3,FALSE)</f>
        <v>1246.1599999999999</v>
      </c>
      <c r="G34" s="4">
        <f>VLOOKUP($A34,'CCNL Economico 2022'!$A$7:$E$38,5,FALSE)</f>
        <v>264</v>
      </c>
      <c r="H34" s="4">
        <f t="shared" si="2"/>
        <v>1644.49</v>
      </c>
      <c r="I34" s="4">
        <f t="shared" si="3"/>
        <v>22888.480000000003</v>
      </c>
      <c r="J34" s="4">
        <f t="shared" si="9"/>
        <v>6824.0826240000015</v>
      </c>
      <c r="K34" s="4">
        <f t="shared" si="4"/>
        <v>1946</v>
      </c>
      <c r="L34" s="4">
        <f t="shared" si="5"/>
        <v>31658.562624000006</v>
      </c>
      <c r="M34" s="23">
        <f t="shared" si="6"/>
        <v>8770.0826240000024</v>
      </c>
      <c r="N34" s="20" t="s">
        <v>24</v>
      </c>
    </row>
    <row r="35" spans="1:14" s="6" customFormat="1" x14ac:dyDescent="0.2">
      <c r="A35" s="27" t="s">
        <v>25</v>
      </c>
      <c r="B35" s="16">
        <v>18896.95</v>
      </c>
      <c r="C35" s="33">
        <f t="shared" si="0"/>
        <v>12605.810000000001</v>
      </c>
      <c r="D35" s="4"/>
      <c r="E35" s="4">
        <f>6291.14</f>
        <v>6291.14</v>
      </c>
      <c r="F35" s="4">
        <f>VLOOKUP($A35,'CCNL Economico 2022'!$Q$7:$S$37,3,FALSE)</f>
        <v>1246.1599999999999</v>
      </c>
      <c r="G35" s="4">
        <f>VLOOKUP($A35,'CCNL Economico 2022'!$A$7:$E$38,5,FALSE)</f>
        <v>300</v>
      </c>
      <c r="H35" s="4">
        <f t="shared" si="2"/>
        <v>1574.75</v>
      </c>
      <c r="I35" s="4">
        <f t="shared" si="3"/>
        <v>22017.86</v>
      </c>
      <c r="J35" s="4">
        <f t="shared" si="9"/>
        <v>6561.896568000001</v>
      </c>
      <c r="K35" s="4">
        <f t="shared" si="4"/>
        <v>1872</v>
      </c>
      <c r="L35" s="4">
        <f t="shared" si="5"/>
        <v>30451.756568000001</v>
      </c>
      <c r="M35" s="23">
        <f t="shared" si="6"/>
        <v>8433.8965680000001</v>
      </c>
      <c r="N35" s="20" t="s">
        <v>25</v>
      </c>
    </row>
    <row r="36" spans="1:14" s="6" customFormat="1" ht="13.5" thickBot="1" x14ac:dyDescent="0.25">
      <c r="A36" s="31" t="s">
        <v>26</v>
      </c>
      <c r="B36" s="17">
        <v>17777.3</v>
      </c>
      <c r="C36" s="35">
        <f t="shared" si="0"/>
        <v>11540.779999999999</v>
      </c>
      <c r="D36" s="5"/>
      <c r="E36" s="5">
        <f>6236.52</f>
        <v>6236.52</v>
      </c>
      <c r="F36" s="5">
        <f>VLOOKUP($A36,'CCNL Economico 2022'!$Q$7:$S$37,3,FALSE)</f>
        <v>1246.1599999999999</v>
      </c>
      <c r="G36" s="5">
        <f>VLOOKUP($A36,'CCNL Economico 2022'!$A$7:$E$38,5,FALSE)</f>
        <v>336</v>
      </c>
      <c r="H36" s="5">
        <f t="shared" si="2"/>
        <v>1481.44</v>
      </c>
      <c r="I36" s="5">
        <f t="shared" si="3"/>
        <v>20840.899999999998</v>
      </c>
      <c r="J36" s="5">
        <f t="shared" si="9"/>
        <v>6208.1761199999992</v>
      </c>
      <c r="K36" s="5">
        <f t="shared" si="4"/>
        <v>1771</v>
      </c>
      <c r="L36" s="5">
        <f t="shared" si="5"/>
        <v>28820.076119999998</v>
      </c>
      <c r="M36" s="24">
        <f t="shared" si="6"/>
        <v>7979.1761199999992</v>
      </c>
      <c r="N36" s="21" t="s">
        <v>26</v>
      </c>
    </row>
    <row r="39" spans="1:14" s="6" customFormat="1" x14ac:dyDescent="0.2">
      <c r="G39" s="18"/>
    </row>
  </sheetData>
  <printOptions gridLines="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D1FC9-1B61-4618-BB5C-60B637501A62}">
  <sheetPr codeName="Foglio11"/>
  <dimension ref="A1:D44"/>
  <sheetViews>
    <sheetView workbookViewId="0">
      <selection activeCell="O17" sqref="O17"/>
    </sheetView>
  </sheetViews>
  <sheetFormatPr defaultRowHeight="14.25" x14ac:dyDescent="0.2"/>
  <cols>
    <col min="1" max="1" width="38.28515625" style="73" bestFit="1" customWidth="1"/>
    <col min="2" max="2" width="6.140625" style="73" bestFit="1" customWidth="1"/>
    <col min="3" max="3" width="24.140625" style="83" customWidth="1"/>
    <col min="4" max="4" width="22.7109375" style="83" customWidth="1"/>
    <col min="5" max="16384" width="9.140625" style="73"/>
  </cols>
  <sheetData>
    <row r="1" spans="1:4" s="71" customFormat="1" ht="15.75" x14ac:dyDescent="0.2">
      <c r="A1" s="297" t="s">
        <v>101</v>
      </c>
      <c r="B1" s="297"/>
      <c r="C1" s="297"/>
      <c r="D1" s="297"/>
    </row>
    <row r="2" spans="1:4" s="71" customFormat="1" ht="15.75" x14ac:dyDescent="0.2">
      <c r="A2" s="72"/>
      <c r="B2" s="72"/>
      <c r="C2" s="72"/>
      <c r="D2" s="72"/>
    </row>
    <row r="3" spans="1:4" s="71" customFormat="1" ht="90" customHeight="1" x14ac:dyDescent="0.2">
      <c r="A3" s="298" t="s">
        <v>102</v>
      </c>
      <c r="B3" s="298"/>
      <c r="C3" s="298"/>
      <c r="D3" s="298"/>
    </row>
    <row r="5" spans="1:4" x14ac:dyDescent="0.2">
      <c r="A5" s="299" t="s">
        <v>103</v>
      </c>
      <c r="B5" s="299"/>
      <c r="C5" s="299"/>
      <c r="D5" s="299"/>
    </row>
    <row r="6" spans="1:4" s="76" customFormat="1" ht="25.5" x14ac:dyDescent="0.2">
      <c r="A6" s="74" t="s">
        <v>104</v>
      </c>
      <c r="B6" s="74" t="s">
        <v>105</v>
      </c>
      <c r="C6" s="75" t="s">
        <v>106</v>
      </c>
      <c r="D6" s="75" t="s">
        <v>107</v>
      </c>
    </row>
    <row r="7" spans="1:4" x14ac:dyDescent="0.2">
      <c r="A7" s="77"/>
      <c r="B7" s="77"/>
      <c r="C7" s="78">
        <v>1.4999999999999999E-2</v>
      </c>
      <c r="D7" s="78">
        <v>1.4999999999999999E-2</v>
      </c>
    </row>
    <row r="8" spans="1:4" x14ac:dyDescent="0.2">
      <c r="A8" s="77" t="s">
        <v>108</v>
      </c>
      <c r="B8" s="77" t="s">
        <v>109</v>
      </c>
      <c r="C8" s="79">
        <v>52.22</v>
      </c>
      <c r="D8" s="79">
        <v>52.22</v>
      </c>
    </row>
    <row r="9" spans="1:4" x14ac:dyDescent="0.2">
      <c r="A9" s="77" t="s">
        <v>110</v>
      </c>
      <c r="B9" s="77" t="s">
        <v>109</v>
      </c>
      <c r="C9" s="79">
        <v>52.22</v>
      </c>
      <c r="D9" s="79">
        <v>52.22</v>
      </c>
    </row>
    <row r="10" spans="1:4" x14ac:dyDescent="0.2">
      <c r="A10" s="77" t="s">
        <v>111</v>
      </c>
      <c r="B10" s="77" t="s">
        <v>112</v>
      </c>
      <c r="C10" s="79">
        <v>35.74</v>
      </c>
      <c r="D10" s="79">
        <v>35.74</v>
      </c>
    </row>
    <row r="11" spans="1:4" x14ac:dyDescent="0.2">
      <c r="A11" s="77" t="s">
        <v>113</v>
      </c>
      <c r="B11" s="77" t="s">
        <v>114</v>
      </c>
      <c r="C11" s="79">
        <v>13.68</v>
      </c>
      <c r="D11" s="79">
        <v>13.68</v>
      </c>
    </row>
    <row r="12" spans="1:4" x14ac:dyDescent="0.2">
      <c r="A12" s="77" t="s">
        <v>115</v>
      </c>
      <c r="B12" s="79" t="s">
        <v>116</v>
      </c>
      <c r="C12" s="79">
        <v>19.54</v>
      </c>
      <c r="D12" s="79">
        <v>19.93</v>
      </c>
    </row>
    <row r="13" spans="1:4" x14ac:dyDescent="0.2">
      <c r="A13" s="77" t="s">
        <v>117</v>
      </c>
      <c r="B13" s="77" t="s">
        <v>43</v>
      </c>
      <c r="C13" s="79">
        <v>47.39</v>
      </c>
      <c r="D13" s="79">
        <v>47.39</v>
      </c>
    </row>
    <row r="14" spans="1:4" x14ac:dyDescent="0.2">
      <c r="A14" s="77" t="s">
        <v>118</v>
      </c>
      <c r="B14" s="77" t="s">
        <v>0</v>
      </c>
      <c r="C14" s="79">
        <v>46.01</v>
      </c>
      <c r="D14" s="79">
        <v>46.01</v>
      </c>
    </row>
    <row r="15" spans="1:4" x14ac:dyDescent="0.2">
      <c r="A15" s="77" t="s">
        <v>119</v>
      </c>
      <c r="B15" s="77" t="s">
        <v>1</v>
      </c>
      <c r="C15" s="79">
        <v>44.25</v>
      </c>
      <c r="D15" s="79">
        <v>44.25</v>
      </c>
    </row>
    <row r="16" spans="1:4" x14ac:dyDescent="0.2">
      <c r="A16" s="77" t="s">
        <v>120</v>
      </c>
      <c r="B16" s="77" t="s">
        <v>2</v>
      </c>
      <c r="C16" s="79">
        <v>42.56</v>
      </c>
      <c r="D16" s="79">
        <v>42.56</v>
      </c>
    </row>
    <row r="17" spans="1:4" x14ac:dyDescent="0.2">
      <c r="A17" s="77" t="s">
        <v>121</v>
      </c>
      <c r="B17" s="77" t="s">
        <v>3</v>
      </c>
      <c r="C17" s="79">
        <v>40.74</v>
      </c>
      <c r="D17" s="79">
        <v>40.74</v>
      </c>
    </row>
    <row r="18" spans="1:4" x14ac:dyDescent="0.2">
      <c r="A18" s="77" t="s">
        <v>122</v>
      </c>
      <c r="B18" s="77" t="s">
        <v>4</v>
      </c>
      <c r="C18" s="79">
        <v>37.76</v>
      </c>
      <c r="D18" s="79">
        <v>37.76</v>
      </c>
    </row>
    <row r="19" spans="1:4" x14ac:dyDescent="0.2">
      <c r="A19" s="77" t="s">
        <v>123</v>
      </c>
      <c r="B19" s="77" t="s">
        <v>5</v>
      </c>
      <c r="C19" s="79">
        <v>35.74</v>
      </c>
      <c r="D19" s="79">
        <v>35.74</v>
      </c>
    </row>
    <row r="20" spans="1:4" x14ac:dyDescent="0.2">
      <c r="A20" s="77" t="s">
        <v>124</v>
      </c>
      <c r="B20" s="77" t="s">
        <v>6</v>
      </c>
      <c r="C20" s="79">
        <v>33.61</v>
      </c>
      <c r="D20" s="79">
        <v>33.61</v>
      </c>
    </row>
    <row r="21" spans="1:4" x14ac:dyDescent="0.2">
      <c r="A21" s="77" t="s">
        <v>125</v>
      </c>
      <c r="B21" s="77" t="s">
        <v>44</v>
      </c>
      <c r="C21" s="79">
        <v>38.83</v>
      </c>
      <c r="D21" s="79">
        <v>38.83</v>
      </c>
    </row>
    <row r="22" spans="1:4" x14ac:dyDescent="0.2">
      <c r="A22" s="77" t="s">
        <v>126</v>
      </c>
      <c r="B22" s="77" t="s">
        <v>7</v>
      </c>
      <c r="C22" s="79">
        <v>37.700000000000003</v>
      </c>
      <c r="D22" s="79">
        <v>37.700000000000003</v>
      </c>
    </row>
    <row r="23" spans="1:4" x14ac:dyDescent="0.2">
      <c r="A23" s="77" t="s">
        <v>127</v>
      </c>
      <c r="B23" s="77" t="s">
        <v>8</v>
      </c>
      <c r="C23" s="79">
        <v>36.380000000000003</v>
      </c>
      <c r="D23" s="79">
        <v>36.380000000000003</v>
      </c>
    </row>
    <row r="24" spans="1:4" x14ac:dyDescent="0.2">
      <c r="A24" s="77" t="s">
        <v>128</v>
      </c>
      <c r="B24" s="77" t="s">
        <v>9</v>
      </c>
      <c r="C24" s="79">
        <v>35.11</v>
      </c>
      <c r="D24" s="79">
        <v>35.11</v>
      </c>
    </row>
    <row r="25" spans="1:4" x14ac:dyDescent="0.2">
      <c r="A25" s="77" t="s">
        <v>129</v>
      </c>
      <c r="B25" s="77" t="s">
        <v>10</v>
      </c>
      <c r="C25" s="79">
        <v>33.9</v>
      </c>
      <c r="D25" s="79">
        <v>33.9</v>
      </c>
    </row>
    <row r="26" spans="1:4" x14ac:dyDescent="0.2">
      <c r="A26" s="77" t="s">
        <v>130</v>
      </c>
      <c r="B26" s="77" t="s">
        <v>11</v>
      </c>
      <c r="C26" s="79">
        <v>32.26</v>
      </c>
      <c r="D26" s="79">
        <v>32.26</v>
      </c>
    </row>
    <row r="27" spans="1:4" x14ac:dyDescent="0.2">
      <c r="A27" s="77" t="s">
        <v>131</v>
      </c>
      <c r="B27" s="77" t="s">
        <v>12</v>
      </c>
      <c r="C27" s="79">
        <v>30.92</v>
      </c>
      <c r="D27" s="79">
        <v>31.01</v>
      </c>
    </row>
    <row r="28" spans="1:4" x14ac:dyDescent="0.2">
      <c r="A28" s="77" t="s">
        <v>132</v>
      </c>
      <c r="B28" s="77" t="s">
        <v>13</v>
      </c>
      <c r="C28" s="79">
        <v>29.76</v>
      </c>
      <c r="D28" s="79">
        <v>29.88</v>
      </c>
    </row>
    <row r="29" spans="1:4" x14ac:dyDescent="0.2">
      <c r="A29" s="77" t="s">
        <v>133</v>
      </c>
      <c r="B29" s="77" t="s">
        <v>45</v>
      </c>
      <c r="C29" s="79">
        <v>32.22</v>
      </c>
      <c r="D29" s="79">
        <v>32.22</v>
      </c>
    </row>
    <row r="30" spans="1:4" x14ac:dyDescent="0.2">
      <c r="A30" s="77" t="s">
        <v>134</v>
      </c>
      <c r="B30" s="77" t="s">
        <v>14</v>
      </c>
      <c r="C30" s="79">
        <v>31.22</v>
      </c>
      <c r="D30" s="79">
        <v>31.28</v>
      </c>
    </row>
    <row r="31" spans="1:4" x14ac:dyDescent="0.2">
      <c r="A31" s="77" t="s">
        <v>135</v>
      </c>
      <c r="B31" s="77" t="s">
        <v>15</v>
      </c>
      <c r="C31" s="79">
        <v>30.23</v>
      </c>
      <c r="D31" s="79">
        <v>30.34</v>
      </c>
    </row>
    <row r="32" spans="1:4" x14ac:dyDescent="0.2">
      <c r="A32" s="77" t="s">
        <v>136</v>
      </c>
      <c r="B32" s="77" t="s">
        <v>16</v>
      </c>
      <c r="C32" s="79">
        <v>29.28</v>
      </c>
      <c r="D32" s="79">
        <v>29.41</v>
      </c>
    </row>
    <row r="33" spans="1:4" x14ac:dyDescent="0.2">
      <c r="A33" s="77" t="s">
        <v>137</v>
      </c>
      <c r="B33" s="77" t="s">
        <v>17</v>
      </c>
      <c r="C33" s="79">
        <v>28.37</v>
      </c>
      <c r="D33" s="79">
        <v>28.54</v>
      </c>
    </row>
    <row r="34" spans="1:4" x14ac:dyDescent="0.2">
      <c r="A34" s="77" t="s">
        <v>138</v>
      </c>
      <c r="B34" s="77" t="s">
        <v>18</v>
      </c>
      <c r="C34" s="79">
        <v>26.98</v>
      </c>
      <c r="D34" s="79">
        <v>27.19</v>
      </c>
    </row>
    <row r="35" spans="1:4" x14ac:dyDescent="0.2">
      <c r="A35" s="77" t="s">
        <v>139</v>
      </c>
      <c r="B35" s="77" t="s">
        <v>19</v>
      </c>
      <c r="C35" s="79">
        <v>25.94</v>
      </c>
      <c r="D35" s="79">
        <v>26.19</v>
      </c>
    </row>
    <row r="36" spans="1:4" x14ac:dyDescent="0.2">
      <c r="A36" s="77" t="s">
        <v>140</v>
      </c>
      <c r="B36" s="77" t="s">
        <v>20</v>
      </c>
      <c r="C36" s="79">
        <v>25.44</v>
      </c>
      <c r="D36" s="79">
        <v>25.71</v>
      </c>
    </row>
    <row r="37" spans="1:4" x14ac:dyDescent="0.2">
      <c r="A37" s="77" t="s">
        <v>141</v>
      </c>
      <c r="B37" s="77" t="s">
        <v>31</v>
      </c>
      <c r="C37" s="79">
        <v>28.66</v>
      </c>
      <c r="D37" s="79">
        <v>28.66</v>
      </c>
    </row>
    <row r="38" spans="1:4" x14ac:dyDescent="0.2">
      <c r="A38" s="77" t="s">
        <v>142</v>
      </c>
      <c r="B38" s="77" t="s">
        <v>21</v>
      </c>
      <c r="C38" s="79">
        <v>27.79</v>
      </c>
      <c r="D38" s="79">
        <v>27.97</v>
      </c>
    </row>
    <row r="39" spans="1:4" x14ac:dyDescent="0.2">
      <c r="A39" s="77" t="s">
        <v>143</v>
      </c>
      <c r="B39" s="77" t="s">
        <v>22</v>
      </c>
      <c r="C39" s="79">
        <v>26.75</v>
      </c>
      <c r="D39" s="79">
        <v>26.98</v>
      </c>
    </row>
    <row r="40" spans="1:4" x14ac:dyDescent="0.2">
      <c r="A40" s="77" t="s">
        <v>144</v>
      </c>
      <c r="B40" s="77" t="s">
        <v>23</v>
      </c>
      <c r="C40" s="79">
        <v>25.76</v>
      </c>
      <c r="D40" s="79">
        <v>26.02</v>
      </c>
    </row>
    <row r="41" spans="1:4" x14ac:dyDescent="0.2">
      <c r="A41" s="77" t="s">
        <v>145</v>
      </c>
      <c r="B41" s="77" t="s">
        <v>24</v>
      </c>
      <c r="C41" s="79">
        <v>24.67</v>
      </c>
      <c r="D41" s="79">
        <v>24.96</v>
      </c>
    </row>
    <row r="42" spans="1:4" x14ac:dyDescent="0.2">
      <c r="A42" s="77" t="s">
        <v>146</v>
      </c>
      <c r="B42" s="77" t="s">
        <v>25</v>
      </c>
      <c r="C42" s="79">
        <v>23.62</v>
      </c>
      <c r="D42" s="79">
        <v>23.95</v>
      </c>
    </row>
    <row r="43" spans="1:4" x14ac:dyDescent="0.2">
      <c r="A43" s="77" t="s">
        <v>147</v>
      </c>
      <c r="B43" s="77" t="s">
        <v>26</v>
      </c>
      <c r="C43" s="79">
        <v>22.22</v>
      </c>
      <c r="D43" s="79">
        <v>22.59</v>
      </c>
    </row>
    <row r="44" spans="1:4" ht="56.25" x14ac:dyDescent="0.2">
      <c r="A44" s="80" t="s">
        <v>148</v>
      </c>
      <c r="B44" s="81"/>
      <c r="C44" s="82"/>
      <c r="D44" s="82"/>
    </row>
  </sheetData>
  <mergeCells count="3">
    <mergeCell ref="A1:D1"/>
    <mergeCell ref="A3:D3"/>
    <mergeCell ref="A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F7560-22A0-4DFE-B4EE-AA00BEA04311}">
  <sheetPr codeName="Foglio5"/>
  <dimension ref="A1:O39"/>
  <sheetViews>
    <sheetView topLeftCell="A3" zoomScaleNormal="100" workbookViewId="0">
      <selection activeCell="H6" sqref="H6"/>
    </sheetView>
  </sheetViews>
  <sheetFormatPr defaultRowHeight="12.75" x14ac:dyDescent="0.2"/>
  <cols>
    <col min="1" max="1" width="6.140625" style="6" customWidth="1"/>
    <col min="2" max="2" width="11.42578125" style="6" customWidth="1"/>
    <col min="3" max="3" width="10.28515625" style="6" customWidth="1"/>
    <col min="4" max="4" width="11.5703125" style="6" customWidth="1"/>
    <col min="5" max="5" width="9.140625" style="6" customWidth="1"/>
    <col min="6" max="6" width="9.42578125" style="6" bestFit="1" customWidth="1"/>
    <col min="7" max="7" width="10.28515625" style="6" customWidth="1"/>
    <col min="8" max="8" width="9.7109375" style="6" bestFit="1" customWidth="1"/>
    <col min="9" max="9" width="10.85546875" style="6" customWidth="1"/>
    <col min="10" max="10" width="10.7109375" style="6" customWidth="1"/>
    <col min="11" max="11" width="12" style="6" customWidth="1"/>
    <col min="12" max="13" width="10.7109375" style="6" customWidth="1"/>
    <col min="14" max="14" width="6.28515625" style="6" customWidth="1"/>
    <col min="15" max="15" width="9.140625" style="6"/>
    <col min="16" max="16384" width="9.140625" style="9"/>
  </cols>
  <sheetData>
    <row r="1" spans="1:15" ht="15.75" x14ac:dyDescent="0.2">
      <c r="B1" s="8"/>
    </row>
    <row r="2" spans="1:15" ht="18.75" x14ac:dyDescent="0.2">
      <c r="A2" s="2" t="s">
        <v>88</v>
      </c>
    </row>
    <row r="3" spans="1:15" x14ac:dyDescent="0.2">
      <c r="A3" s="10" t="s">
        <v>95</v>
      </c>
      <c r="B3" s="10"/>
      <c r="C3" s="10"/>
      <c r="D3" s="10"/>
    </row>
    <row r="4" spans="1:15" ht="13.5" thickBot="1" x14ac:dyDescent="0.25">
      <c r="A4" s="11"/>
    </row>
    <row r="5" spans="1:15" s="14" customFormat="1" ht="64.5" thickBot="1" x14ac:dyDescent="0.25">
      <c r="A5" s="12" t="s">
        <v>27</v>
      </c>
      <c r="B5" s="32" t="s">
        <v>46</v>
      </c>
      <c r="C5" s="7" t="s">
        <v>33</v>
      </c>
      <c r="D5" s="7" t="s">
        <v>36</v>
      </c>
      <c r="E5" s="7" t="s">
        <v>35</v>
      </c>
      <c r="F5" s="7" t="s">
        <v>42</v>
      </c>
      <c r="G5" s="7" t="s">
        <v>41</v>
      </c>
      <c r="H5" s="7" t="s">
        <v>34</v>
      </c>
      <c r="I5" s="7" t="s">
        <v>32</v>
      </c>
      <c r="J5" s="7" t="s">
        <v>37</v>
      </c>
      <c r="K5" s="7" t="s">
        <v>38</v>
      </c>
      <c r="L5" s="7" t="s">
        <v>39</v>
      </c>
      <c r="M5" s="13" t="s">
        <v>40</v>
      </c>
      <c r="N5" s="12" t="s">
        <v>27</v>
      </c>
      <c r="O5" s="25"/>
    </row>
    <row r="6" spans="1:15" x14ac:dyDescent="0.2">
      <c r="A6" s="26" t="s">
        <v>43</v>
      </c>
      <c r="B6" s="15">
        <v>38022.080000000002</v>
      </c>
      <c r="C6" s="34">
        <f t="shared" ref="C6:C36" si="0">B6-E6</f>
        <v>31203.850000000002</v>
      </c>
      <c r="D6" s="3">
        <v>3099</v>
      </c>
      <c r="E6" s="3">
        <f>6818.23</f>
        <v>6818.23</v>
      </c>
      <c r="F6" s="3">
        <f>VLOOKUP($A6,'CCNL Economico 2022'!$Q$7:$S$37,3,FALSE)</f>
        <v>3821.77</v>
      </c>
      <c r="G6" s="3">
        <f>VLOOKUP($A6,'CCNL Economico 2022'!$A$7:$E$38,5,FALSE)</f>
        <v>0</v>
      </c>
      <c r="H6" s="3">
        <f>ROUND((B6)/12,2)</f>
        <v>3168.51</v>
      </c>
      <c r="I6" s="3">
        <f>B6+D6+G6+H6+F6</f>
        <v>48111.360000000001</v>
      </c>
      <c r="J6" s="3">
        <f t="shared" ref="J6:J13" si="1">ROUND((C6)*34.24%+D6*24.2%,2)+ROUND((F6*29.88%+H6*29.88%+E6*29.88%),2)</f>
        <v>15560.14</v>
      </c>
      <c r="K6" s="3">
        <f>ROUND(I6*8.5%,0)</f>
        <v>4089</v>
      </c>
      <c r="L6" s="3">
        <f>I6+J6+K6</f>
        <v>67760.5</v>
      </c>
      <c r="M6" s="22">
        <f>J6+K6</f>
        <v>19649.14</v>
      </c>
      <c r="N6" s="15" t="str">
        <f>A6</f>
        <v>EP8</v>
      </c>
    </row>
    <row r="7" spans="1:15" x14ac:dyDescent="0.2">
      <c r="A7" s="27" t="s">
        <v>0</v>
      </c>
      <c r="B7" s="16">
        <v>36918.720000000001</v>
      </c>
      <c r="C7" s="33">
        <f>B7-E7</f>
        <v>30100.49</v>
      </c>
      <c r="D7" s="4">
        <v>3099</v>
      </c>
      <c r="E7" s="4">
        <f>6818.23</f>
        <v>6818.23</v>
      </c>
      <c r="F7" s="4">
        <f>VLOOKUP($A7,'CCNL Economico 2022'!$Q$7:$S$37,3,FALSE)</f>
        <v>3821.77</v>
      </c>
      <c r="G7" s="4">
        <f>VLOOKUP($A7,'CCNL Economico 2022'!$A$7:$E$38,5,FALSE)</f>
        <v>0</v>
      </c>
      <c r="H7" s="4">
        <f>ROUND((B7)/12,2)</f>
        <v>3076.56</v>
      </c>
      <c r="I7" s="4">
        <f>B7+D7+G7+H7+F7</f>
        <v>46916.049999999996</v>
      </c>
      <c r="J7" s="4">
        <f t="shared" si="1"/>
        <v>15154.880000000001</v>
      </c>
      <c r="K7" s="4">
        <f>ROUND(I7*8.5%,0)</f>
        <v>3988</v>
      </c>
      <c r="L7" s="4">
        <f>I7+J7+K7</f>
        <v>66058.929999999993</v>
      </c>
      <c r="M7" s="23">
        <f>J7+K7</f>
        <v>19142.88</v>
      </c>
      <c r="N7" s="16" t="str">
        <f>A7</f>
        <v>EP7</v>
      </c>
    </row>
    <row r="8" spans="1:15" x14ac:dyDescent="0.2">
      <c r="A8" s="28" t="s">
        <v>1</v>
      </c>
      <c r="B8" s="16">
        <v>35505.149999999994</v>
      </c>
      <c r="C8" s="33">
        <f t="shared" si="0"/>
        <v>28686.919999999995</v>
      </c>
      <c r="D8" s="4">
        <v>3099</v>
      </c>
      <c r="E8" s="4">
        <f>6818.23</f>
        <v>6818.23</v>
      </c>
      <c r="F8" s="4">
        <f>VLOOKUP($A8,'CCNL Economico 2022'!$Q$7:$S$37,3,FALSE)</f>
        <v>3821.77</v>
      </c>
      <c r="G8" s="4">
        <f>VLOOKUP($A8,'CCNL Economico 2022'!$A$7:$E$38,5,FALSE)</f>
        <v>0</v>
      </c>
      <c r="H8" s="4">
        <f t="shared" ref="H8:H36" si="2">ROUND((B8)/12,2)</f>
        <v>2958.76</v>
      </c>
      <c r="I8" s="4">
        <f t="shared" ref="I8:I36" si="3">B8+D8+G8+H8+F8</f>
        <v>45384.679999999993</v>
      </c>
      <c r="J8" s="4">
        <f t="shared" si="1"/>
        <v>14635.67</v>
      </c>
      <c r="K8" s="4">
        <f>ROUND(I8*8.5%,0)</f>
        <v>3858</v>
      </c>
      <c r="L8" s="4">
        <f>I8+J8+K8</f>
        <v>63878.349999999991</v>
      </c>
      <c r="M8" s="23">
        <f>J8+K8</f>
        <v>18493.669999999998</v>
      </c>
      <c r="N8" s="16" t="str">
        <f>A8</f>
        <v>EP6</v>
      </c>
    </row>
    <row r="9" spans="1:15" x14ac:dyDescent="0.2">
      <c r="A9" s="28" t="s">
        <v>2</v>
      </c>
      <c r="B9" s="16">
        <v>34151.170000000006</v>
      </c>
      <c r="C9" s="33">
        <f t="shared" si="0"/>
        <v>27332.940000000006</v>
      </c>
      <c r="D9" s="4">
        <v>3099</v>
      </c>
      <c r="E9" s="4">
        <f>6818.23</f>
        <v>6818.23</v>
      </c>
      <c r="F9" s="4">
        <f>VLOOKUP($A9,'CCNL Economico 2022'!$Q$7:$S$37,3,FALSE)</f>
        <v>3821.77</v>
      </c>
      <c r="G9" s="4">
        <f>VLOOKUP($A9,'CCNL Economico 2022'!$A$7:$E$38,5,FALSE)</f>
        <v>0</v>
      </c>
      <c r="H9" s="4">
        <f t="shared" si="2"/>
        <v>2845.93</v>
      </c>
      <c r="I9" s="4">
        <f t="shared" si="3"/>
        <v>43917.87</v>
      </c>
      <c r="J9" s="4">
        <f t="shared" si="1"/>
        <v>14138.36</v>
      </c>
      <c r="K9" s="4">
        <f t="shared" ref="K9:K36" si="4">ROUND(I9*8.5%,0)</f>
        <v>3733</v>
      </c>
      <c r="L9" s="4">
        <f t="shared" ref="L9:L36" si="5">I9+J9+K9</f>
        <v>61789.23</v>
      </c>
      <c r="M9" s="23">
        <f t="shared" ref="M9:M36" si="6">J9+K9</f>
        <v>17871.36</v>
      </c>
      <c r="N9" s="16" t="s">
        <v>2</v>
      </c>
    </row>
    <row r="10" spans="1:15" x14ac:dyDescent="0.2">
      <c r="A10" s="27" t="s">
        <v>3</v>
      </c>
      <c r="B10" s="16">
        <v>32690.469999999998</v>
      </c>
      <c r="C10" s="33">
        <f t="shared" si="0"/>
        <v>25872.239999999998</v>
      </c>
      <c r="D10" s="4">
        <v>3099</v>
      </c>
      <c r="E10" s="4">
        <f>6818.23</f>
        <v>6818.23</v>
      </c>
      <c r="F10" s="4">
        <f>VLOOKUP($A10,'CCNL Economico 2022'!$Q$7:$S$37,3,FALSE)</f>
        <v>3821.77</v>
      </c>
      <c r="G10" s="4">
        <f>VLOOKUP($A10,'CCNL Economico 2022'!$A$7:$E$38,5,FALSE)</f>
        <v>0</v>
      </c>
      <c r="H10" s="4">
        <f t="shared" si="2"/>
        <v>2724.21</v>
      </c>
      <c r="I10" s="4">
        <f t="shared" si="3"/>
        <v>42335.45</v>
      </c>
      <c r="J10" s="4">
        <f t="shared" si="1"/>
        <v>13601.84</v>
      </c>
      <c r="K10" s="4">
        <f t="shared" si="4"/>
        <v>3599</v>
      </c>
      <c r="L10" s="4">
        <f t="shared" si="5"/>
        <v>59536.289999999994</v>
      </c>
      <c r="M10" s="23">
        <f t="shared" si="6"/>
        <v>17200.84</v>
      </c>
      <c r="N10" s="16" t="s">
        <v>3</v>
      </c>
    </row>
    <row r="11" spans="1:15" x14ac:dyDescent="0.2">
      <c r="A11" s="28" t="s">
        <v>4</v>
      </c>
      <c r="B11" s="16">
        <v>30299.379999999997</v>
      </c>
      <c r="C11" s="33">
        <f t="shared" si="0"/>
        <v>23617.119999999995</v>
      </c>
      <c r="D11" s="4">
        <v>3099</v>
      </c>
      <c r="E11" s="4">
        <f>6682.26</f>
        <v>6682.26</v>
      </c>
      <c r="F11" s="4">
        <f>VLOOKUP($A11,'CCNL Economico 2022'!$Q$7:$S$37,3,FALSE)</f>
        <v>2909.4</v>
      </c>
      <c r="G11" s="4">
        <f>VLOOKUP($A11,'CCNL Economico 2022'!$A$7:$E$38,5,FALSE)</f>
        <v>0</v>
      </c>
      <c r="H11" s="4">
        <f t="shared" si="2"/>
        <v>2524.9499999999998</v>
      </c>
      <c r="I11" s="4">
        <f t="shared" si="3"/>
        <v>38832.729999999996</v>
      </c>
      <c r="J11" s="4">
        <f t="shared" si="1"/>
        <v>12456.9</v>
      </c>
      <c r="K11" s="4">
        <f t="shared" si="4"/>
        <v>3301</v>
      </c>
      <c r="L11" s="4">
        <f t="shared" si="5"/>
        <v>54590.63</v>
      </c>
      <c r="M11" s="23">
        <f t="shared" si="6"/>
        <v>15757.9</v>
      </c>
      <c r="N11" s="16" t="s">
        <v>4</v>
      </c>
    </row>
    <row r="12" spans="1:15" x14ac:dyDescent="0.2">
      <c r="A12" s="28" t="s">
        <v>5</v>
      </c>
      <c r="B12" s="16">
        <v>28679.239999999998</v>
      </c>
      <c r="C12" s="33">
        <f t="shared" si="0"/>
        <v>21996.979999999996</v>
      </c>
      <c r="D12" s="4">
        <v>3099</v>
      </c>
      <c r="E12" s="4">
        <f>6682.26</f>
        <v>6682.26</v>
      </c>
      <c r="F12" s="4">
        <f>VLOOKUP($A12,'CCNL Economico 2022'!$Q$7:$S$37,3,FALSE)</f>
        <v>2909.4</v>
      </c>
      <c r="G12" s="4">
        <f>VLOOKUP($A12,'CCNL Economico 2022'!$A$7:$E$38,5,FALSE)</f>
        <v>0</v>
      </c>
      <c r="H12" s="4">
        <f t="shared" si="2"/>
        <v>2389.94</v>
      </c>
      <c r="I12" s="4">
        <f t="shared" si="3"/>
        <v>37077.58</v>
      </c>
      <c r="J12" s="4">
        <f t="shared" si="1"/>
        <v>11861.82</v>
      </c>
      <c r="K12" s="4">
        <f t="shared" si="4"/>
        <v>3152</v>
      </c>
      <c r="L12" s="4">
        <f t="shared" si="5"/>
        <v>52091.4</v>
      </c>
      <c r="M12" s="23">
        <f t="shared" si="6"/>
        <v>15013.82</v>
      </c>
      <c r="N12" s="16" t="s">
        <v>5</v>
      </c>
    </row>
    <row r="13" spans="1:15" ht="13.5" thickBot="1" x14ac:dyDescent="0.25">
      <c r="A13" s="29" t="s">
        <v>6</v>
      </c>
      <c r="B13" s="36">
        <v>26970.69</v>
      </c>
      <c r="C13" s="35">
        <f t="shared" si="0"/>
        <v>20288.43</v>
      </c>
      <c r="D13" s="5">
        <v>3099</v>
      </c>
      <c r="E13" s="5">
        <f>6682.26</f>
        <v>6682.26</v>
      </c>
      <c r="F13" s="5">
        <f>VLOOKUP($A13,'CCNL Economico 2022'!$Q$7:$S$37,3,FALSE)</f>
        <v>2909.4</v>
      </c>
      <c r="G13" s="5">
        <f>VLOOKUP($A13,'CCNL Economico 2022'!$A$7:$E$38,5,FALSE)</f>
        <v>0</v>
      </c>
      <c r="H13" s="5">
        <f t="shared" si="2"/>
        <v>2247.56</v>
      </c>
      <c r="I13" s="5">
        <f t="shared" si="3"/>
        <v>35226.65</v>
      </c>
      <c r="J13" s="5">
        <f t="shared" si="1"/>
        <v>11234.28</v>
      </c>
      <c r="K13" s="5">
        <f t="shared" si="4"/>
        <v>2994</v>
      </c>
      <c r="L13" s="5">
        <f t="shared" si="5"/>
        <v>49454.93</v>
      </c>
      <c r="M13" s="24">
        <f t="shared" si="6"/>
        <v>14228.28</v>
      </c>
      <c r="N13" s="17" t="s">
        <v>6</v>
      </c>
    </row>
    <row r="14" spans="1:15" x14ac:dyDescent="0.2">
      <c r="A14" s="26" t="s">
        <v>44</v>
      </c>
      <c r="B14" s="15">
        <v>31155.300000000003</v>
      </c>
      <c r="C14" s="34">
        <f t="shared" si="0"/>
        <v>24610.060000000005</v>
      </c>
      <c r="D14" s="3"/>
      <c r="E14" s="3">
        <f>6545.24</f>
        <v>6545.24</v>
      </c>
      <c r="F14" s="3">
        <f>VLOOKUP($A14,'CCNL Economico 2022'!$Q$7:$S$37,3,FALSE)</f>
        <v>2422.16</v>
      </c>
      <c r="G14" s="3">
        <f>VLOOKUP($A14,'CCNL Economico 2022'!$A$7:$E$38,5,FALSE)</f>
        <v>0</v>
      </c>
      <c r="H14" s="3">
        <f t="shared" si="2"/>
        <v>2596.2800000000002</v>
      </c>
      <c r="I14" s="3">
        <f t="shared" si="3"/>
        <v>36173.740000000005</v>
      </c>
      <c r="J14" s="3">
        <f>+I14*29.88%</f>
        <v>10808.713512000002</v>
      </c>
      <c r="K14" s="3">
        <f>ROUND(I14*8.5%,0)</f>
        <v>3075</v>
      </c>
      <c r="L14" s="3">
        <f>I14+J14+K14</f>
        <v>50057.453512000007</v>
      </c>
      <c r="M14" s="22">
        <f>J14+K14</f>
        <v>13883.713512000002</v>
      </c>
      <c r="N14" s="19" t="str">
        <f>A14</f>
        <v>D8</v>
      </c>
    </row>
    <row r="15" spans="1:15" x14ac:dyDescent="0.2">
      <c r="A15" s="27" t="s">
        <v>7</v>
      </c>
      <c r="B15" s="16">
        <v>30252.54</v>
      </c>
      <c r="C15" s="33">
        <f>B15-E15</f>
        <v>23707.300000000003</v>
      </c>
      <c r="D15" s="4"/>
      <c r="E15" s="4">
        <f t="shared" ref="E15:E21" si="7">6545.24</f>
        <v>6545.24</v>
      </c>
      <c r="F15" s="4">
        <f>VLOOKUP($A15,'CCNL Economico 2022'!$Q$7:$S$37,3,FALSE)</f>
        <v>2422.16</v>
      </c>
      <c r="G15" s="4">
        <f>VLOOKUP($A15,'CCNL Economico 2022'!$A$7:$E$38,5,FALSE)</f>
        <v>0</v>
      </c>
      <c r="H15" s="4">
        <f>ROUND((B15)/12,2)</f>
        <v>2521.0500000000002</v>
      </c>
      <c r="I15" s="4">
        <f>B15+D15+G15+H15+F15</f>
        <v>35195.75</v>
      </c>
      <c r="J15" s="4">
        <f t="shared" ref="J15:J19" si="8">+I15*29.88%</f>
        <v>10516.490100000001</v>
      </c>
      <c r="K15" s="4">
        <f>ROUND(I15*8.5%,0)</f>
        <v>2992</v>
      </c>
      <c r="L15" s="4">
        <f>I15+J15+K15</f>
        <v>48704.240100000003</v>
      </c>
      <c r="M15" s="23">
        <f>J15+K15</f>
        <v>13508.490100000001</v>
      </c>
      <c r="N15" s="20" t="str">
        <f>A15</f>
        <v>D7</v>
      </c>
    </row>
    <row r="16" spans="1:15" x14ac:dyDescent="0.2">
      <c r="A16" s="28" t="s">
        <v>8</v>
      </c>
      <c r="B16" s="16">
        <v>29193.040000000001</v>
      </c>
      <c r="C16" s="33">
        <f t="shared" si="0"/>
        <v>22647.800000000003</v>
      </c>
      <c r="D16" s="4"/>
      <c r="E16" s="4">
        <f t="shared" si="7"/>
        <v>6545.24</v>
      </c>
      <c r="F16" s="4">
        <f>VLOOKUP($A16,'CCNL Economico 2022'!$Q$7:$S$37,3,FALSE)</f>
        <v>2422.16</v>
      </c>
      <c r="G16" s="4">
        <f>VLOOKUP($A16,'CCNL Economico 2022'!$A$7:$E$38,5,FALSE)</f>
        <v>0</v>
      </c>
      <c r="H16" s="4">
        <f t="shared" si="2"/>
        <v>2432.75</v>
      </c>
      <c r="I16" s="4">
        <f t="shared" si="3"/>
        <v>34047.949999999997</v>
      </c>
      <c r="J16" s="4">
        <f t="shared" si="8"/>
        <v>10173.527459999999</v>
      </c>
      <c r="K16" s="4">
        <f>ROUND(I16*8.5%,0)</f>
        <v>2894</v>
      </c>
      <c r="L16" s="4">
        <f>I16+J16+K16</f>
        <v>47115.477459999995</v>
      </c>
      <c r="M16" s="23">
        <f>J16+K16</f>
        <v>13067.527459999999</v>
      </c>
      <c r="N16" s="20" t="str">
        <f>A16</f>
        <v>D6</v>
      </c>
    </row>
    <row r="17" spans="1:14" x14ac:dyDescent="0.2">
      <c r="A17" s="28" t="s">
        <v>9</v>
      </c>
      <c r="B17" s="16">
        <v>28175.940000000002</v>
      </c>
      <c r="C17" s="33">
        <f t="shared" si="0"/>
        <v>21630.700000000004</v>
      </c>
      <c r="D17" s="4"/>
      <c r="E17" s="4">
        <f t="shared" si="7"/>
        <v>6545.24</v>
      </c>
      <c r="F17" s="4">
        <f>VLOOKUP($A17,'CCNL Economico 2022'!$Q$7:$S$37,3,FALSE)</f>
        <v>2422.16</v>
      </c>
      <c r="G17" s="4">
        <f>VLOOKUP($A17,'CCNL Economico 2022'!$A$7:$E$38,5,FALSE)</f>
        <v>0</v>
      </c>
      <c r="H17" s="4">
        <f t="shared" si="2"/>
        <v>2348</v>
      </c>
      <c r="I17" s="4">
        <f t="shared" si="3"/>
        <v>32946.100000000006</v>
      </c>
      <c r="J17" s="4">
        <f t="shared" si="8"/>
        <v>9844.2946800000027</v>
      </c>
      <c r="K17" s="4">
        <f t="shared" si="4"/>
        <v>2800</v>
      </c>
      <c r="L17" s="4">
        <f t="shared" si="5"/>
        <v>45590.394680000012</v>
      </c>
      <c r="M17" s="23">
        <f t="shared" si="6"/>
        <v>12644.294680000003</v>
      </c>
      <c r="N17" s="20" t="s">
        <v>9</v>
      </c>
    </row>
    <row r="18" spans="1:14" x14ac:dyDescent="0.2">
      <c r="A18" s="28" t="s">
        <v>10</v>
      </c>
      <c r="B18" s="16">
        <v>27204.84</v>
      </c>
      <c r="C18" s="33">
        <f t="shared" si="0"/>
        <v>20659.599999999999</v>
      </c>
      <c r="D18" s="4"/>
      <c r="E18" s="4">
        <f t="shared" si="7"/>
        <v>6545.24</v>
      </c>
      <c r="F18" s="4">
        <f>VLOOKUP($A18,'CCNL Economico 2022'!$Q$7:$S$37,3,FALSE)</f>
        <v>2422.16</v>
      </c>
      <c r="G18" s="4">
        <f>VLOOKUP($A18,'CCNL Economico 2022'!$A$7:$E$38,5,FALSE)</f>
        <v>0</v>
      </c>
      <c r="H18" s="4">
        <f t="shared" si="2"/>
        <v>2267.0700000000002</v>
      </c>
      <c r="I18" s="4">
        <f t="shared" si="3"/>
        <v>31894.07</v>
      </c>
      <c r="J18" s="4">
        <f t="shared" si="8"/>
        <v>9529.9481159999996</v>
      </c>
      <c r="K18" s="4">
        <f t="shared" si="4"/>
        <v>2711</v>
      </c>
      <c r="L18" s="4">
        <f t="shared" si="5"/>
        <v>44135.018115999999</v>
      </c>
      <c r="M18" s="23">
        <f t="shared" si="6"/>
        <v>12240.948116</v>
      </c>
      <c r="N18" s="20" t="s">
        <v>10</v>
      </c>
    </row>
    <row r="19" spans="1:14" s="6" customFormat="1" x14ac:dyDescent="0.2">
      <c r="A19" s="28" t="s">
        <v>11</v>
      </c>
      <c r="B19" s="16">
        <v>25889.33</v>
      </c>
      <c r="C19" s="33">
        <f t="shared" si="0"/>
        <v>19344.090000000004</v>
      </c>
      <c r="D19" s="4"/>
      <c r="E19" s="4">
        <f t="shared" si="7"/>
        <v>6545.24</v>
      </c>
      <c r="F19" s="4">
        <f>VLOOKUP($A19,'CCNL Economico 2022'!$Q$7:$S$37,3,FALSE)</f>
        <v>2422.16</v>
      </c>
      <c r="G19" s="4">
        <f>VLOOKUP($A19,'CCNL Economico 2022'!$A$7:$E$38,5,FALSE)</f>
        <v>0</v>
      </c>
      <c r="H19" s="4">
        <f t="shared" si="2"/>
        <v>2157.44</v>
      </c>
      <c r="I19" s="4">
        <f t="shared" si="3"/>
        <v>30468.93</v>
      </c>
      <c r="J19" s="4">
        <f t="shared" si="8"/>
        <v>9104.1162839999997</v>
      </c>
      <c r="K19" s="4">
        <f t="shared" si="4"/>
        <v>2590</v>
      </c>
      <c r="L19" s="4">
        <f t="shared" si="5"/>
        <v>42163.046283999996</v>
      </c>
      <c r="M19" s="23">
        <f t="shared" si="6"/>
        <v>11694.116284</v>
      </c>
      <c r="N19" s="20" t="s">
        <v>11</v>
      </c>
    </row>
    <row r="20" spans="1:14" s="6" customFormat="1" x14ac:dyDescent="0.2">
      <c r="A20" s="28" t="s">
        <v>12</v>
      </c>
      <c r="B20" s="16">
        <v>24811.119999999999</v>
      </c>
      <c r="C20" s="33">
        <f t="shared" si="0"/>
        <v>18265.879999999997</v>
      </c>
      <c r="D20" s="4"/>
      <c r="E20" s="4">
        <f t="shared" si="7"/>
        <v>6545.24</v>
      </c>
      <c r="F20" s="4">
        <f>VLOOKUP($A20,'CCNL Economico 2022'!$Q$7:$S$37,3,FALSE)</f>
        <v>2422.16</v>
      </c>
      <c r="G20" s="4">
        <f>VLOOKUP($A20,'CCNL Economico 2022'!$A$7:$E$38,5,FALSE)</f>
        <v>84</v>
      </c>
      <c r="H20" s="4">
        <f t="shared" si="2"/>
        <v>2067.59</v>
      </c>
      <c r="I20" s="4">
        <f t="shared" si="3"/>
        <v>29384.87</v>
      </c>
      <c r="J20" s="4">
        <f>+(+I20-G20)*29.88%+G20*24.2%</f>
        <v>8775.4279559999995</v>
      </c>
      <c r="K20" s="4">
        <f t="shared" si="4"/>
        <v>2498</v>
      </c>
      <c r="L20" s="4">
        <f t="shared" si="5"/>
        <v>40658.297955999995</v>
      </c>
      <c r="M20" s="23">
        <f t="shared" si="6"/>
        <v>11273.427956</v>
      </c>
      <c r="N20" s="20" t="s">
        <v>12</v>
      </c>
    </row>
    <row r="21" spans="1:14" s="6" customFormat="1" ht="13.5" thickBot="1" x14ac:dyDescent="0.25">
      <c r="A21" s="29" t="s">
        <v>13</v>
      </c>
      <c r="B21" s="36">
        <v>23878.230000000003</v>
      </c>
      <c r="C21" s="35">
        <f t="shared" si="0"/>
        <v>17332.990000000005</v>
      </c>
      <c r="D21" s="5"/>
      <c r="E21" s="5">
        <f t="shared" si="7"/>
        <v>6545.24</v>
      </c>
      <c r="F21" s="5">
        <f>VLOOKUP($A21,'CCNL Economico 2022'!$Q$7:$S$37,3,FALSE)</f>
        <v>2422.16</v>
      </c>
      <c r="G21" s="5">
        <f>VLOOKUP($A21,'CCNL Economico 2022'!$A$7:$E$38,5,FALSE)</f>
        <v>108</v>
      </c>
      <c r="H21" s="5">
        <f t="shared" si="2"/>
        <v>1989.85</v>
      </c>
      <c r="I21" s="5">
        <f t="shared" si="3"/>
        <v>28398.240000000002</v>
      </c>
      <c r="J21" s="5">
        <f t="shared" ref="J21:J36" si="9">+(+I21-G21)*29.88%+G21*24.2%</f>
        <v>8479.2597120000009</v>
      </c>
      <c r="K21" s="5">
        <f t="shared" si="4"/>
        <v>2414</v>
      </c>
      <c r="L21" s="5">
        <f t="shared" si="5"/>
        <v>39291.499712000004</v>
      </c>
      <c r="M21" s="24">
        <f t="shared" si="6"/>
        <v>10893.259712000001</v>
      </c>
      <c r="N21" s="21" t="s">
        <v>13</v>
      </c>
    </row>
    <row r="22" spans="1:14" s="6" customFormat="1" x14ac:dyDescent="0.2">
      <c r="A22" s="26" t="s">
        <v>45</v>
      </c>
      <c r="B22" s="15">
        <v>25851.739999999998</v>
      </c>
      <c r="C22" s="34">
        <f t="shared" si="0"/>
        <v>19401.659999999996</v>
      </c>
      <c r="D22" s="3"/>
      <c r="E22" s="3">
        <f>6450.08</f>
        <v>6450.08</v>
      </c>
      <c r="F22" s="3">
        <f>VLOOKUP($A22,'CCNL Economico 2022'!$Q$7:$S$37,3,FALSE)</f>
        <v>1693.97</v>
      </c>
      <c r="G22" s="3">
        <f>VLOOKUP($A22,'CCNL Economico 2022'!$A$7:$E$38,5,FALSE)</f>
        <v>0</v>
      </c>
      <c r="H22" s="3">
        <f t="shared" si="2"/>
        <v>2154.31</v>
      </c>
      <c r="I22" s="3">
        <f t="shared" si="3"/>
        <v>29700.02</v>
      </c>
      <c r="J22" s="3">
        <f t="shared" si="9"/>
        <v>8874.365976000001</v>
      </c>
      <c r="K22" s="3">
        <f>ROUND(I22*8.5%,0)</f>
        <v>2525</v>
      </c>
      <c r="L22" s="3">
        <f>I22+J22+K22</f>
        <v>41099.385976000005</v>
      </c>
      <c r="M22" s="22">
        <f>J22+K22</f>
        <v>11399.365976000001</v>
      </c>
      <c r="N22" s="19" t="str">
        <f>A22</f>
        <v>C8</v>
      </c>
    </row>
    <row r="23" spans="1:14" s="6" customFormat="1" x14ac:dyDescent="0.2">
      <c r="A23" s="27" t="s">
        <v>14</v>
      </c>
      <c r="B23" s="16">
        <v>25049.34</v>
      </c>
      <c r="C23" s="33">
        <f>B23-E23</f>
        <v>18599.260000000002</v>
      </c>
      <c r="D23" s="4"/>
      <c r="E23" s="4">
        <f>6450.08</f>
        <v>6450.08</v>
      </c>
      <c r="F23" s="4">
        <f>VLOOKUP($A23,'CCNL Economico 2022'!$Q$7:$S$37,3,FALSE)</f>
        <v>1693.97</v>
      </c>
      <c r="G23" s="4">
        <f>VLOOKUP($A23,'CCNL Economico 2022'!$A$7:$E$38,5,FALSE)</f>
        <v>60</v>
      </c>
      <c r="H23" s="4">
        <f>ROUND((B23)/12,2)</f>
        <v>2087.4499999999998</v>
      </c>
      <c r="I23" s="4">
        <f>B23+D23+G23+H23+F23</f>
        <v>28890.760000000002</v>
      </c>
      <c r="J23" s="4">
        <f t="shared" si="9"/>
        <v>8629.1510880000005</v>
      </c>
      <c r="K23" s="4">
        <f>ROUND(I23*8.5%,0)</f>
        <v>2456</v>
      </c>
      <c r="L23" s="4">
        <f>I23+J23+K23</f>
        <v>39975.911088000001</v>
      </c>
      <c r="M23" s="23">
        <f>J23+K23</f>
        <v>11085.151088000001</v>
      </c>
      <c r="N23" s="20" t="str">
        <f>A23</f>
        <v>C7</v>
      </c>
    </row>
    <row r="24" spans="1:14" s="6" customFormat="1" x14ac:dyDescent="0.2">
      <c r="A24" s="28" t="s">
        <v>15</v>
      </c>
      <c r="B24" s="16">
        <v>24257.759999999998</v>
      </c>
      <c r="C24" s="33">
        <f t="shared" si="0"/>
        <v>17807.68</v>
      </c>
      <c r="D24" s="4"/>
      <c r="E24" s="4">
        <f>6450.08</f>
        <v>6450.08</v>
      </c>
      <c r="F24" s="4">
        <f>VLOOKUP($A24,'CCNL Economico 2022'!$Q$7:$S$37,3,FALSE)</f>
        <v>1693.97</v>
      </c>
      <c r="G24" s="4">
        <f>VLOOKUP($A24,'CCNL Economico 2022'!$A$7:$E$38,5,FALSE)</f>
        <v>96</v>
      </c>
      <c r="H24" s="4">
        <f t="shared" si="2"/>
        <v>2021.48</v>
      </c>
      <c r="I24" s="4">
        <f t="shared" si="3"/>
        <v>28069.21</v>
      </c>
      <c r="J24" s="4">
        <f t="shared" si="9"/>
        <v>8381.6271479999996</v>
      </c>
      <c r="K24" s="4">
        <f>ROUND(I24*8.5%,0)</f>
        <v>2386</v>
      </c>
      <c r="L24" s="4">
        <f>I24+J24+K24</f>
        <v>38836.837147999999</v>
      </c>
      <c r="M24" s="23">
        <f>J24+K24</f>
        <v>10767.627148</v>
      </c>
      <c r="N24" s="20" t="str">
        <f>A24</f>
        <v>C6</v>
      </c>
    </row>
    <row r="25" spans="1:14" s="6" customFormat="1" x14ac:dyDescent="0.2">
      <c r="A25" s="28" t="s">
        <v>16</v>
      </c>
      <c r="B25" s="16">
        <v>23494.44</v>
      </c>
      <c r="C25" s="33">
        <f t="shared" si="0"/>
        <v>17044.36</v>
      </c>
      <c r="D25" s="4"/>
      <c r="E25" s="4">
        <f>6450.08</f>
        <v>6450.08</v>
      </c>
      <c r="F25" s="4">
        <f>VLOOKUP($A25,'CCNL Economico 2022'!$Q$7:$S$37,3,FALSE)</f>
        <v>1693.97</v>
      </c>
      <c r="G25" s="4">
        <f>VLOOKUP($A25,'CCNL Economico 2022'!$A$7:$E$38,5,FALSE)</f>
        <v>120</v>
      </c>
      <c r="H25" s="4">
        <f t="shared" si="2"/>
        <v>1957.87</v>
      </c>
      <c r="I25" s="4">
        <f t="shared" si="3"/>
        <v>27266.28</v>
      </c>
      <c r="J25" s="4">
        <f t="shared" si="9"/>
        <v>8140.3484639999997</v>
      </c>
      <c r="K25" s="4">
        <f t="shared" si="4"/>
        <v>2318</v>
      </c>
      <c r="L25" s="4">
        <f>I25+J25+K25</f>
        <v>37724.628464000001</v>
      </c>
      <c r="M25" s="23">
        <f t="shared" si="6"/>
        <v>10458.348463999999</v>
      </c>
      <c r="N25" s="20" t="s">
        <v>16</v>
      </c>
    </row>
    <row r="26" spans="1:14" s="6" customFormat="1" x14ac:dyDescent="0.2">
      <c r="A26" s="27" t="s">
        <v>17</v>
      </c>
      <c r="B26" s="16">
        <v>22761</v>
      </c>
      <c r="C26" s="33">
        <f t="shared" si="0"/>
        <v>16310.92</v>
      </c>
      <c r="D26" s="4"/>
      <c r="E26" s="4">
        <f>6450.08</f>
        <v>6450.08</v>
      </c>
      <c r="F26" s="4">
        <f>VLOOKUP($A26,'CCNL Economico 2022'!$Q$7:$S$37,3,FALSE)</f>
        <v>1693.97</v>
      </c>
      <c r="G26" s="4">
        <f>VLOOKUP($A26,'CCNL Economico 2022'!$A$7:$E$38,5,FALSE)</f>
        <v>156</v>
      </c>
      <c r="H26" s="4">
        <f t="shared" si="2"/>
        <v>1896.75</v>
      </c>
      <c r="I26" s="4">
        <f t="shared" si="3"/>
        <v>26507.72</v>
      </c>
      <c r="J26" s="4">
        <f t="shared" si="9"/>
        <v>7911.6459360000008</v>
      </c>
      <c r="K26" s="4">
        <f t="shared" si="4"/>
        <v>2253</v>
      </c>
      <c r="L26" s="4">
        <f t="shared" si="5"/>
        <v>36672.365936000002</v>
      </c>
      <c r="M26" s="23">
        <f t="shared" si="6"/>
        <v>10164.645936000001</v>
      </c>
      <c r="N26" s="20" t="s">
        <v>17</v>
      </c>
    </row>
    <row r="27" spans="1:14" s="6" customFormat="1" x14ac:dyDescent="0.2">
      <c r="A27" s="28" t="s">
        <v>18</v>
      </c>
      <c r="B27" s="16">
        <v>21647.88</v>
      </c>
      <c r="C27" s="33">
        <f t="shared" si="0"/>
        <v>15275.240000000002</v>
      </c>
      <c r="D27" s="4"/>
      <c r="E27" s="4">
        <f>6372.64</f>
        <v>6372.64</v>
      </c>
      <c r="F27" s="4">
        <f>VLOOKUP($A27,'CCNL Economico 2022'!$Q$7:$S$37,3,FALSE)</f>
        <v>1693.97</v>
      </c>
      <c r="G27" s="4">
        <f>VLOOKUP($A27,'CCNL Economico 2022'!$A$7:$E$38,5,FALSE)</f>
        <v>192</v>
      </c>
      <c r="H27" s="4">
        <f t="shared" si="2"/>
        <v>1803.99</v>
      </c>
      <c r="I27" s="4">
        <f t="shared" si="3"/>
        <v>25337.840000000004</v>
      </c>
      <c r="J27" s="4">
        <f t="shared" si="9"/>
        <v>7560.0409920000011</v>
      </c>
      <c r="K27" s="4">
        <f t="shared" si="4"/>
        <v>2154</v>
      </c>
      <c r="L27" s="4">
        <f t="shared" si="5"/>
        <v>35051.880992000006</v>
      </c>
      <c r="M27" s="23">
        <f t="shared" si="6"/>
        <v>9714.040992000002</v>
      </c>
      <c r="N27" s="20" t="s">
        <v>18</v>
      </c>
    </row>
    <row r="28" spans="1:14" s="6" customFormat="1" x14ac:dyDescent="0.2">
      <c r="A28" s="28" t="s">
        <v>19</v>
      </c>
      <c r="B28" s="16">
        <v>20813.039999999997</v>
      </c>
      <c r="C28" s="33">
        <f t="shared" si="0"/>
        <v>14440.399999999998</v>
      </c>
      <c r="D28" s="4"/>
      <c r="E28" s="4">
        <f>6372.64</f>
        <v>6372.64</v>
      </c>
      <c r="F28" s="4">
        <f>VLOOKUP($A28,'CCNL Economico 2022'!$Q$7:$S$37,3,FALSE)</f>
        <v>1693.97</v>
      </c>
      <c r="G28" s="4">
        <f>VLOOKUP($A28,'CCNL Economico 2022'!$A$7:$E$38,5,FALSE)</f>
        <v>228</v>
      </c>
      <c r="H28" s="4">
        <f t="shared" si="2"/>
        <v>1734.42</v>
      </c>
      <c r="I28" s="4">
        <f t="shared" si="3"/>
        <v>24469.43</v>
      </c>
      <c r="J28" s="4">
        <f t="shared" si="9"/>
        <v>7298.515284000001</v>
      </c>
      <c r="K28" s="4">
        <f t="shared" si="4"/>
        <v>2080</v>
      </c>
      <c r="L28" s="4">
        <f t="shared" si="5"/>
        <v>33847.945284000001</v>
      </c>
      <c r="M28" s="23">
        <f t="shared" si="6"/>
        <v>9378.515284000001</v>
      </c>
      <c r="N28" s="20" t="s">
        <v>19</v>
      </c>
    </row>
    <row r="29" spans="1:14" s="6" customFormat="1" ht="13.5" thickBot="1" x14ac:dyDescent="0.25">
      <c r="A29" s="29" t="s">
        <v>20</v>
      </c>
      <c r="B29" s="36">
        <v>20415.280000000002</v>
      </c>
      <c r="C29" s="35">
        <f t="shared" si="0"/>
        <v>14042.640000000003</v>
      </c>
      <c r="D29" s="5"/>
      <c r="E29" s="5">
        <f>6372.64</f>
        <v>6372.64</v>
      </c>
      <c r="F29" s="5">
        <f>VLOOKUP($A29,'CCNL Economico 2022'!$Q$7:$S$37,3,FALSE)</f>
        <v>1693.97</v>
      </c>
      <c r="G29" s="5">
        <f>VLOOKUP($A29,'CCNL Economico 2022'!$A$7:$E$38,5,FALSE)</f>
        <v>240</v>
      </c>
      <c r="H29" s="5">
        <f t="shared" si="2"/>
        <v>1701.27</v>
      </c>
      <c r="I29" s="5">
        <f t="shared" si="3"/>
        <v>24050.520000000004</v>
      </c>
      <c r="J29" s="5">
        <f t="shared" si="9"/>
        <v>7172.6633760000013</v>
      </c>
      <c r="K29" s="5">
        <f t="shared" si="4"/>
        <v>2044</v>
      </c>
      <c r="L29" s="5">
        <f t="shared" si="5"/>
        <v>33267.183376000001</v>
      </c>
      <c r="M29" s="24">
        <f t="shared" si="6"/>
        <v>9216.6633760000004</v>
      </c>
      <c r="N29" s="21" t="s">
        <v>20</v>
      </c>
    </row>
    <row r="30" spans="1:14" s="6" customFormat="1" x14ac:dyDescent="0.2">
      <c r="A30" s="26" t="s">
        <v>31</v>
      </c>
      <c r="B30" s="15">
        <v>22999.48</v>
      </c>
      <c r="C30" s="34">
        <f t="shared" si="0"/>
        <v>16666.52</v>
      </c>
      <c r="D30" s="3"/>
      <c r="E30" s="3">
        <f>6332.96</f>
        <v>6332.96</v>
      </c>
      <c r="F30" s="3">
        <f>VLOOKUP($A30,'CCNL Economico 2022'!$Q$7:$S$37,3,FALSE)</f>
        <v>1246.1599999999999</v>
      </c>
      <c r="G30" s="3">
        <f>VLOOKUP($A30,'CCNL Economico 2022'!$A$7:$E$38,5,FALSE)</f>
        <v>0</v>
      </c>
      <c r="H30" s="3">
        <f t="shared" si="2"/>
        <v>1916.62</v>
      </c>
      <c r="I30" s="3">
        <f t="shared" si="3"/>
        <v>26162.26</v>
      </c>
      <c r="J30" s="3">
        <f t="shared" si="9"/>
        <v>7817.2832879999996</v>
      </c>
      <c r="K30" s="3">
        <f>ROUND(I30*8.5%,0)</f>
        <v>2224</v>
      </c>
      <c r="L30" s="3">
        <f>I30+J30+K30</f>
        <v>36203.543288000001</v>
      </c>
      <c r="M30" s="22">
        <f>J30+K30</f>
        <v>10041.283287999999</v>
      </c>
      <c r="N30" s="19" t="str">
        <f>A30</f>
        <v>B7</v>
      </c>
    </row>
    <row r="31" spans="1:14" s="6" customFormat="1" ht="12" customHeight="1" x14ac:dyDescent="0.2">
      <c r="A31" s="27" t="s">
        <v>21</v>
      </c>
      <c r="B31" s="16">
        <v>22297.440000000002</v>
      </c>
      <c r="C31" s="33">
        <f>B31-E31</f>
        <v>15964.480000000003</v>
      </c>
      <c r="D31" s="4"/>
      <c r="E31" s="4">
        <f>6332.96</f>
        <v>6332.96</v>
      </c>
      <c r="F31" s="4">
        <f>VLOOKUP($A31,'CCNL Economico 2022'!$Q$7:$S$37,3,FALSE)</f>
        <v>1246.1599999999999</v>
      </c>
      <c r="G31" s="4">
        <f>VLOOKUP($A31,'CCNL Economico 2022'!$A$7:$E$38,5,FALSE)</f>
        <v>168</v>
      </c>
      <c r="H31" s="4">
        <f>ROUND((B31)/12,2)</f>
        <v>1858.12</v>
      </c>
      <c r="I31" s="4">
        <f>B31+D31+G31+H31+F31</f>
        <v>25569.72</v>
      </c>
      <c r="J31" s="4">
        <f t="shared" si="9"/>
        <v>7630.6899360000007</v>
      </c>
      <c r="K31" s="4">
        <f>ROUND(I31*8.5%,0)</f>
        <v>2173</v>
      </c>
      <c r="L31" s="4">
        <f>I31+J31+K31</f>
        <v>35373.409936000004</v>
      </c>
      <c r="M31" s="23">
        <f>J31+K31</f>
        <v>9803.6899360000007</v>
      </c>
      <c r="N31" s="20" t="str">
        <f>A31</f>
        <v>B6</v>
      </c>
    </row>
    <row r="32" spans="1:14" s="6" customFormat="1" ht="12" customHeight="1" x14ac:dyDescent="0.2">
      <c r="A32" s="27" t="s">
        <v>22</v>
      </c>
      <c r="B32" s="16">
        <v>21467.82</v>
      </c>
      <c r="C32" s="33">
        <f t="shared" si="0"/>
        <v>15134.86</v>
      </c>
      <c r="D32" s="4"/>
      <c r="E32" s="4">
        <f>6332.96</f>
        <v>6332.96</v>
      </c>
      <c r="F32" s="4">
        <f>VLOOKUP($A32,'CCNL Economico 2022'!$Q$7:$S$37,3,FALSE)</f>
        <v>1246.1599999999999</v>
      </c>
      <c r="G32" s="4">
        <f>VLOOKUP($A32,'CCNL Economico 2022'!$A$7:$E$38,5,FALSE)</f>
        <v>204</v>
      </c>
      <c r="H32" s="4">
        <f t="shared" si="2"/>
        <v>1788.99</v>
      </c>
      <c r="I32" s="4">
        <f t="shared" si="3"/>
        <v>24706.97</v>
      </c>
      <c r="J32" s="4">
        <f t="shared" si="9"/>
        <v>7370.8554360000007</v>
      </c>
      <c r="K32" s="4">
        <f>ROUND(I32*8.5%,0)</f>
        <v>2100</v>
      </c>
      <c r="L32" s="4">
        <f>I32+J32+K32</f>
        <v>34177.825435999999</v>
      </c>
      <c r="M32" s="23">
        <f>J32+K32</f>
        <v>9470.8554360000016</v>
      </c>
      <c r="N32" s="20" t="str">
        <f>A32</f>
        <v>B5</v>
      </c>
    </row>
    <row r="33" spans="1:14" s="6" customFormat="1" x14ac:dyDescent="0.2">
      <c r="A33" s="27" t="s">
        <v>23</v>
      </c>
      <c r="B33" s="16">
        <v>20673.04</v>
      </c>
      <c r="C33" s="33">
        <f t="shared" si="0"/>
        <v>14340.080000000002</v>
      </c>
      <c r="D33" s="4"/>
      <c r="E33" s="4">
        <f>6332.96</f>
        <v>6332.96</v>
      </c>
      <c r="F33" s="4">
        <f>VLOOKUP($A33,'CCNL Economico 2022'!$Q$7:$S$37,3,FALSE)</f>
        <v>1246.1599999999999</v>
      </c>
      <c r="G33" s="4">
        <f>VLOOKUP($A33,'CCNL Economico 2022'!$A$7:$E$38,5,FALSE)</f>
        <v>228</v>
      </c>
      <c r="H33" s="4">
        <f t="shared" si="2"/>
        <v>1722.75</v>
      </c>
      <c r="I33" s="4">
        <f t="shared" si="3"/>
        <v>23869.95</v>
      </c>
      <c r="J33" s="4">
        <f t="shared" si="9"/>
        <v>7119.3906600000009</v>
      </c>
      <c r="K33" s="4">
        <f t="shared" si="4"/>
        <v>2029</v>
      </c>
      <c r="L33" s="4">
        <f t="shared" si="5"/>
        <v>33018.340660000002</v>
      </c>
      <c r="M33" s="23">
        <f t="shared" si="6"/>
        <v>9148.3906600000009</v>
      </c>
      <c r="N33" s="20" t="s">
        <v>23</v>
      </c>
    </row>
    <row r="34" spans="1:14" s="6" customFormat="1" x14ac:dyDescent="0.2">
      <c r="A34" s="30" t="s">
        <v>24</v>
      </c>
      <c r="B34" s="16">
        <v>19792.990000000002</v>
      </c>
      <c r="C34" s="33">
        <f t="shared" si="0"/>
        <v>13460.030000000002</v>
      </c>
      <c r="D34" s="4"/>
      <c r="E34" s="4">
        <f>6332.96</f>
        <v>6332.96</v>
      </c>
      <c r="F34" s="4">
        <f>VLOOKUP($A34,'CCNL Economico 2022'!$Q$7:$S$37,3,FALSE)</f>
        <v>1246.1599999999999</v>
      </c>
      <c r="G34" s="4">
        <f>VLOOKUP($A34,'CCNL Economico 2022'!$A$7:$E$38,5,FALSE)</f>
        <v>264</v>
      </c>
      <c r="H34" s="4">
        <f t="shared" si="2"/>
        <v>1649.42</v>
      </c>
      <c r="I34" s="4">
        <f t="shared" si="3"/>
        <v>22952.570000000003</v>
      </c>
      <c r="J34" s="4">
        <f t="shared" si="9"/>
        <v>6843.2327160000013</v>
      </c>
      <c r="K34" s="4">
        <f t="shared" si="4"/>
        <v>1951</v>
      </c>
      <c r="L34" s="4">
        <f t="shared" si="5"/>
        <v>31746.802716000006</v>
      </c>
      <c r="M34" s="23">
        <f t="shared" si="6"/>
        <v>8794.2327160000023</v>
      </c>
      <c r="N34" s="20" t="s">
        <v>24</v>
      </c>
    </row>
    <row r="35" spans="1:14" s="6" customFormat="1" x14ac:dyDescent="0.2">
      <c r="A35" s="27" t="s">
        <v>25</v>
      </c>
      <c r="B35" s="16">
        <v>18953.59</v>
      </c>
      <c r="C35" s="33">
        <f t="shared" si="0"/>
        <v>12662.45</v>
      </c>
      <c r="D35" s="4"/>
      <c r="E35" s="4">
        <f>6291.14</f>
        <v>6291.14</v>
      </c>
      <c r="F35" s="4">
        <f>VLOOKUP($A35,'CCNL Economico 2022'!$Q$7:$S$37,3,FALSE)</f>
        <v>1246.1599999999999</v>
      </c>
      <c r="G35" s="4">
        <f>VLOOKUP($A35,'CCNL Economico 2022'!$A$7:$E$38,5,FALSE)</f>
        <v>300</v>
      </c>
      <c r="H35" s="4">
        <f t="shared" si="2"/>
        <v>1579.47</v>
      </c>
      <c r="I35" s="4">
        <f t="shared" si="3"/>
        <v>22079.22</v>
      </c>
      <c r="J35" s="4">
        <f t="shared" si="9"/>
        <v>6580.2309360000008</v>
      </c>
      <c r="K35" s="4">
        <f t="shared" si="4"/>
        <v>1877</v>
      </c>
      <c r="L35" s="4">
        <f t="shared" si="5"/>
        <v>30536.450936000001</v>
      </c>
      <c r="M35" s="23">
        <f t="shared" si="6"/>
        <v>8457.2309359999999</v>
      </c>
      <c r="N35" s="20" t="s">
        <v>25</v>
      </c>
    </row>
    <row r="36" spans="1:14" s="6" customFormat="1" ht="13.5" thickBot="1" x14ac:dyDescent="0.25">
      <c r="A36" s="31" t="s">
        <v>26</v>
      </c>
      <c r="B36" s="17">
        <v>17830.579999999998</v>
      </c>
      <c r="C36" s="35">
        <f t="shared" si="0"/>
        <v>11594.059999999998</v>
      </c>
      <c r="D36" s="5"/>
      <c r="E36" s="5">
        <f>6236.52</f>
        <v>6236.52</v>
      </c>
      <c r="F36" s="5">
        <f>VLOOKUP($A36,'CCNL Economico 2022'!$Q$7:$S$37,3,FALSE)</f>
        <v>1246.1599999999999</v>
      </c>
      <c r="G36" s="5">
        <f>VLOOKUP($A36,'CCNL Economico 2022'!$A$7:$E$38,5,FALSE)</f>
        <v>336</v>
      </c>
      <c r="H36" s="5">
        <f t="shared" si="2"/>
        <v>1485.88</v>
      </c>
      <c r="I36" s="5">
        <f t="shared" si="3"/>
        <v>20898.62</v>
      </c>
      <c r="J36" s="5">
        <f t="shared" si="9"/>
        <v>6225.4228560000001</v>
      </c>
      <c r="K36" s="5">
        <f t="shared" si="4"/>
        <v>1776</v>
      </c>
      <c r="L36" s="5">
        <f t="shared" si="5"/>
        <v>28900.042856</v>
      </c>
      <c r="M36" s="24">
        <f t="shared" si="6"/>
        <v>8001.4228560000001</v>
      </c>
      <c r="N36" s="21" t="s">
        <v>26</v>
      </c>
    </row>
    <row r="39" spans="1:14" s="6" customFormat="1" x14ac:dyDescent="0.2">
      <c r="G39" s="18"/>
    </row>
  </sheetData>
  <printOptions gridLines="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826EC-62A0-416B-B0BE-030AF286022A}">
  <sheetPr codeName="Foglio6"/>
  <dimension ref="A1:AA40"/>
  <sheetViews>
    <sheetView zoomScaleNormal="100" workbookViewId="0">
      <selection activeCell="K7" sqref="K7"/>
    </sheetView>
  </sheetViews>
  <sheetFormatPr defaultRowHeight="12.75" x14ac:dyDescent="0.2"/>
  <cols>
    <col min="1" max="1" width="6.140625" style="6" customWidth="1"/>
    <col min="2" max="2" width="11.42578125" style="6" customWidth="1"/>
    <col min="3" max="3" width="10.28515625" style="6" customWidth="1"/>
    <col min="4" max="4" width="11.5703125" style="6" customWidth="1"/>
    <col min="5" max="5" width="9.140625" style="6" customWidth="1"/>
    <col min="6" max="6" width="9.42578125" style="6" bestFit="1" customWidth="1"/>
    <col min="7" max="7" width="10.28515625" style="6" customWidth="1"/>
    <col min="8" max="8" width="9.7109375" style="6" bestFit="1" customWidth="1"/>
    <col min="9" max="9" width="10.85546875" style="6" customWidth="1"/>
    <col min="10" max="10" width="10.7109375" style="6" customWidth="1"/>
    <col min="11" max="11" width="12" style="6" customWidth="1"/>
    <col min="12" max="13" width="10.7109375" style="6" customWidth="1"/>
    <col min="14" max="14" width="6.28515625" style="6" customWidth="1"/>
    <col min="15" max="15" width="10.28515625" style="6" bestFit="1" customWidth="1"/>
    <col min="16" max="16" width="11.85546875" style="9" bestFit="1" customWidth="1"/>
    <col min="17" max="19" width="9.28515625" style="9" bestFit="1" customWidth="1"/>
    <col min="20" max="20" width="10.85546875" style="9" bestFit="1" customWidth="1"/>
    <col min="21" max="21" width="9.140625" style="9"/>
    <col min="22" max="22" width="10.28515625" style="9" bestFit="1" customWidth="1"/>
    <col min="23" max="23" width="11.85546875" style="9" bestFit="1" customWidth="1"/>
    <col min="24" max="26" width="9.28515625" style="9" bestFit="1" customWidth="1"/>
    <col min="27" max="27" width="10.85546875" style="9" bestFit="1" customWidth="1"/>
    <col min="28" max="16384" width="9.140625" style="9"/>
  </cols>
  <sheetData>
    <row r="1" spans="1:27" ht="15.75" x14ac:dyDescent="0.2">
      <c r="B1" s="8"/>
    </row>
    <row r="2" spans="1:27" ht="18.75" x14ac:dyDescent="0.2">
      <c r="A2" s="2" t="s">
        <v>88</v>
      </c>
    </row>
    <row r="3" spans="1:27" x14ac:dyDescent="0.2">
      <c r="A3" s="10" t="s">
        <v>149</v>
      </c>
      <c r="B3" s="10"/>
      <c r="C3" s="10"/>
      <c r="D3" s="10"/>
    </row>
    <row r="4" spans="1:27" ht="13.5" thickBot="1" x14ac:dyDescent="0.25">
      <c r="A4" s="11"/>
    </row>
    <row r="5" spans="1:27" s="14" customFormat="1" ht="64.5" thickBot="1" x14ac:dyDescent="0.25">
      <c r="A5" s="12" t="s">
        <v>27</v>
      </c>
      <c r="B5" s="32" t="s">
        <v>46</v>
      </c>
      <c r="C5" s="7" t="s">
        <v>33</v>
      </c>
      <c r="D5" s="7" t="s">
        <v>36</v>
      </c>
      <c r="E5" s="7" t="s">
        <v>35</v>
      </c>
      <c r="F5" s="7" t="s">
        <v>42</v>
      </c>
      <c r="G5" s="7" t="s">
        <v>41</v>
      </c>
      <c r="H5" s="7" t="s">
        <v>34</v>
      </c>
      <c r="I5" s="7" t="s">
        <v>32</v>
      </c>
      <c r="J5" s="7" t="s">
        <v>37</v>
      </c>
      <c r="K5" s="7" t="s">
        <v>38</v>
      </c>
      <c r="L5" s="7" t="s">
        <v>39</v>
      </c>
      <c r="M5" s="13" t="s">
        <v>40</v>
      </c>
      <c r="N5" s="12" t="s">
        <v>27</v>
      </c>
      <c r="O5" s="25"/>
    </row>
    <row r="6" spans="1:27" x14ac:dyDescent="0.2">
      <c r="A6" s="26" t="s">
        <v>43</v>
      </c>
      <c r="B6" s="15">
        <v>38097.919999999998</v>
      </c>
      <c r="C6" s="34">
        <f t="shared" ref="C6:C36" si="0">B6-E6</f>
        <v>31279.69</v>
      </c>
      <c r="D6" s="3">
        <v>3099</v>
      </c>
      <c r="E6" s="3">
        <f>6818.23</f>
        <v>6818.23</v>
      </c>
      <c r="F6" s="3">
        <f>VLOOKUP($A6,'CCNL Economico 2022'!$Q$7:$S$37,3,FALSE)</f>
        <v>3821.77</v>
      </c>
      <c r="G6" s="3">
        <f>VLOOKUP($A6,'CCNL Economico 2022'!$A$7:$E$38,5,FALSE)</f>
        <v>0</v>
      </c>
      <c r="H6" s="3">
        <f>ROUND((B6)/12,2)</f>
        <v>3174.83</v>
      </c>
      <c r="I6" s="3">
        <f>B6+D6+G6+H6+F6</f>
        <v>48193.52</v>
      </c>
      <c r="J6" s="3">
        <f t="shared" ref="J6:J13" si="1">ROUND((C6)*34.24%+D6*24.2%,2)+ROUND((F6*29.88%+H6*29.88%+E6*29.88%),2)</f>
        <v>15587.990000000002</v>
      </c>
      <c r="K6" s="3">
        <f>ROUND(I6*8.5%,0)</f>
        <v>4096</v>
      </c>
      <c r="L6" s="3">
        <f>I6+J6+K6</f>
        <v>67877.509999999995</v>
      </c>
      <c r="M6" s="22">
        <f>J6+K6</f>
        <v>19683.990000000002</v>
      </c>
      <c r="N6" s="15" t="str">
        <f>A6</f>
        <v>EP8</v>
      </c>
      <c r="O6" s="66"/>
      <c r="P6" s="67"/>
      <c r="Q6" s="68"/>
      <c r="R6" s="68"/>
      <c r="S6" s="67"/>
      <c r="T6" s="67"/>
      <c r="V6" s="69"/>
      <c r="W6" s="69"/>
      <c r="X6" s="69"/>
      <c r="Y6" s="69"/>
      <c r="Z6" s="69"/>
      <c r="AA6" s="69"/>
    </row>
    <row r="7" spans="1:27" x14ac:dyDescent="0.2">
      <c r="A7" s="27" t="s">
        <v>0</v>
      </c>
      <c r="B7" s="16">
        <v>36992.400000000001</v>
      </c>
      <c r="C7" s="33">
        <f>B7-E7</f>
        <v>30174.170000000002</v>
      </c>
      <c r="D7" s="4">
        <v>3099</v>
      </c>
      <c r="E7" s="4">
        <f>6818.23</f>
        <v>6818.23</v>
      </c>
      <c r="F7" s="4">
        <f>VLOOKUP($A7,'CCNL Economico 2022'!$Q$7:$S$37,3,FALSE)</f>
        <v>3821.77</v>
      </c>
      <c r="G7" s="4">
        <f>VLOOKUP($A7,'CCNL Economico 2022'!$A$7:$E$38,5,FALSE)</f>
        <v>0</v>
      </c>
      <c r="H7" s="4">
        <f>ROUND((B7)/12,2)</f>
        <v>3082.7</v>
      </c>
      <c r="I7" s="4">
        <f>B7+D7+G7+H7+F7</f>
        <v>46995.869999999995</v>
      </c>
      <c r="J7" s="4">
        <f t="shared" si="1"/>
        <v>15181.93</v>
      </c>
      <c r="K7" s="4">
        <f>ROUND(I7*8.5%,0)</f>
        <v>3995</v>
      </c>
      <c r="L7" s="4">
        <f>I7+J7+K7</f>
        <v>66172.799999999988</v>
      </c>
      <c r="M7" s="23">
        <f>J7+K7</f>
        <v>19176.93</v>
      </c>
      <c r="N7" s="16" t="str">
        <f>A7</f>
        <v>EP7</v>
      </c>
      <c r="O7" s="66"/>
      <c r="P7" s="67"/>
      <c r="Q7" s="68"/>
      <c r="R7" s="68"/>
      <c r="S7" s="67"/>
      <c r="T7" s="67"/>
      <c r="V7" s="69"/>
      <c r="W7" s="69"/>
      <c r="X7" s="69"/>
      <c r="Y7" s="69"/>
      <c r="Z7" s="69"/>
      <c r="AA7" s="69"/>
    </row>
    <row r="8" spans="1:27" x14ac:dyDescent="0.2">
      <c r="A8" s="28" t="s">
        <v>1</v>
      </c>
      <c r="B8" s="16">
        <v>35575.949999999997</v>
      </c>
      <c r="C8" s="33">
        <f t="shared" si="0"/>
        <v>28757.719999999998</v>
      </c>
      <c r="D8" s="4">
        <v>3099</v>
      </c>
      <c r="E8" s="4">
        <f>6818.23</f>
        <v>6818.23</v>
      </c>
      <c r="F8" s="4">
        <f>VLOOKUP($A8,'CCNL Economico 2022'!$Q$7:$S$37,3,FALSE)</f>
        <v>3821.77</v>
      </c>
      <c r="G8" s="4">
        <f>VLOOKUP($A8,'CCNL Economico 2022'!$A$7:$E$38,5,FALSE)</f>
        <v>0</v>
      </c>
      <c r="H8" s="4">
        <f t="shared" ref="H8:H36" si="2">ROUND((B8)/12,2)</f>
        <v>2964.66</v>
      </c>
      <c r="I8" s="4">
        <f t="shared" ref="I8:I36" si="3">B8+D8+G8+H8+F8</f>
        <v>45461.38</v>
      </c>
      <c r="J8" s="4">
        <f t="shared" si="1"/>
        <v>14661.67</v>
      </c>
      <c r="K8" s="4">
        <f>ROUND(I8*8.5%,0)</f>
        <v>3864</v>
      </c>
      <c r="L8" s="4">
        <f>I8+J8+K8</f>
        <v>63987.049999999996</v>
      </c>
      <c r="M8" s="23">
        <f>J8+K8</f>
        <v>18525.669999999998</v>
      </c>
      <c r="N8" s="16" t="str">
        <f>A8</f>
        <v>EP6</v>
      </c>
      <c r="O8" s="66"/>
      <c r="P8" s="67"/>
      <c r="Q8" s="68"/>
      <c r="R8" s="68"/>
      <c r="S8" s="67"/>
      <c r="T8" s="67"/>
      <c r="V8" s="69"/>
      <c r="W8" s="69"/>
      <c r="X8" s="69"/>
      <c r="Y8" s="69"/>
      <c r="Z8" s="69"/>
      <c r="AA8" s="69"/>
    </row>
    <row r="9" spans="1:27" x14ac:dyDescent="0.2">
      <c r="A9" s="28" t="s">
        <v>2</v>
      </c>
      <c r="B9" s="16">
        <v>34219.33</v>
      </c>
      <c r="C9" s="33">
        <f t="shared" si="0"/>
        <v>27401.100000000002</v>
      </c>
      <c r="D9" s="4">
        <v>3099</v>
      </c>
      <c r="E9" s="4">
        <f>6818.23</f>
        <v>6818.23</v>
      </c>
      <c r="F9" s="4">
        <f>VLOOKUP($A9,'CCNL Economico 2022'!$Q$7:$S$37,3,FALSE)</f>
        <v>3821.77</v>
      </c>
      <c r="G9" s="4">
        <f>VLOOKUP($A9,'CCNL Economico 2022'!$A$7:$E$38,5,FALSE)</f>
        <v>0</v>
      </c>
      <c r="H9" s="4">
        <f t="shared" si="2"/>
        <v>2851.61</v>
      </c>
      <c r="I9" s="4">
        <f t="shared" si="3"/>
        <v>43991.71</v>
      </c>
      <c r="J9" s="4">
        <f t="shared" si="1"/>
        <v>14163.380000000001</v>
      </c>
      <c r="K9" s="4">
        <f t="shared" ref="K9:K36" si="4">ROUND(I9*8.5%,0)</f>
        <v>3739</v>
      </c>
      <c r="L9" s="4">
        <f t="shared" ref="L9:L36" si="5">I9+J9+K9</f>
        <v>61894.09</v>
      </c>
      <c r="M9" s="23">
        <f t="shared" ref="M9:M36" si="6">J9+K9</f>
        <v>17902.38</v>
      </c>
      <c r="N9" s="16" t="s">
        <v>2</v>
      </c>
      <c r="O9" s="66"/>
      <c r="P9" s="67"/>
      <c r="Q9" s="68"/>
      <c r="R9" s="68"/>
      <c r="S9" s="67"/>
      <c r="T9" s="67"/>
      <c r="V9" s="69"/>
      <c r="W9" s="69"/>
      <c r="X9" s="69"/>
      <c r="Y9" s="69"/>
      <c r="Z9" s="69"/>
      <c r="AA9" s="69"/>
    </row>
    <row r="10" spans="1:27" x14ac:dyDescent="0.2">
      <c r="A10" s="27" t="s">
        <v>3</v>
      </c>
      <c r="B10" s="16">
        <v>32755.629999999997</v>
      </c>
      <c r="C10" s="33">
        <f t="shared" si="0"/>
        <v>25937.399999999998</v>
      </c>
      <c r="D10" s="4">
        <v>3099</v>
      </c>
      <c r="E10" s="4">
        <f>6818.23</f>
        <v>6818.23</v>
      </c>
      <c r="F10" s="4">
        <f>VLOOKUP($A10,'CCNL Economico 2022'!$Q$7:$S$37,3,FALSE)</f>
        <v>3821.77</v>
      </c>
      <c r="G10" s="4">
        <f>VLOOKUP($A10,'CCNL Economico 2022'!$A$7:$E$38,5,FALSE)</f>
        <v>0</v>
      </c>
      <c r="H10" s="4">
        <f t="shared" si="2"/>
        <v>2729.64</v>
      </c>
      <c r="I10" s="4">
        <f t="shared" si="3"/>
        <v>42406.039999999994</v>
      </c>
      <c r="J10" s="4">
        <f t="shared" si="1"/>
        <v>13625.77</v>
      </c>
      <c r="K10" s="4">
        <f t="shared" si="4"/>
        <v>3605</v>
      </c>
      <c r="L10" s="4">
        <f t="shared" si="5"/>
        <v>59636.81</v>
      </c>
      <c r="M10" s="23">
        <f t="shared" si="6"/>
        <v>17230.77</v>
      </c>
      <c r="N10" s="16" t="s">
        <v>3</v>
      </c>
      <c r="O10" s="66"/>
      <c r="P10" s="67"/>
      <c r="Q10" s="68"/>
      <c r="R10" s="68"/>
      <c r="S10" s="67"/>
      <c r="T10" s="67"/>
      <c r="V10" s="69"/>
      <c r="W10" s="69"/>
      <c r="X10" s="69"/>
      <c r="Y10" s="69"/>
      <c r="Z10" s="69"/>
      <c r="AA10" s="69"/>
    </row>
    <row r="11" spans="1:27" x14ac:dyDescent="0.2">
      <c r="A11" s="28" t="s">
        <v>4</v>
      </c>
      <c r="B11" s="16">
        <v>30359.86</v>
      </c>
      <c r="C11" s="33">
        <f t="shared" si="0"/>
        <v>23677.599999999999</v>
      </c>
      <c r="D11" s="4">
        <v>3099</v>
      </c>
      <c r="E11" s="4">
        <f>6682.26</f>
        <v>6682.26</v>
      </c>
      <c r="F11" s="4">
        <f>VLOOKUP($A11,'CCNL Economico 2022'!$Q$7:$S$37,3,FALSE)</f>
        <v>2909.4</v>
      </c>
      <c r="G11" s="4">
        <f>VLOOKUP($A11,'CCNL Economico 2022'!$A$7:$E$38,5,FALSE)</f>
        <v>0</v>
      </c>
      <c r="H11" s="4">
        <f t="shared" si="2"/>
        <v>2529.9899999999998</v>
      </c>
      <c r="I11" s="4">
        <f t="shared" si="3"/>
        <v>38898.25</v>
      </c>
      <c r="J11" s="4">
        <f t="shared" si="1"/>
        <v>12479.119999999999</v>
      </c>
      <c r="K11" s="4">
        <f t="shared" si="4"/>
        <v>3306</v>
      </c>
      <c r="L11" s="4">
        <f t="shared" si="5"/>
        <v>54683.369999999995</v>
      </c>
      <c r="M11" s="23">
        <f t="shared" si="6"/>
        <v>15785.119999999999</v>
      </c>
      <c r="N11" s="16" t="s">
        <v>4</v>
      </c>
      <c r="O11" s="66"/>
      <c r="P11" s="67"/>
      <c r="Q11" s="68"/>
      <c r="R11" s="68"/>
      <c r="S11" s="67"/>
      <c r="T11" s="67"/>
      <c r="V11" s="69"/>
      <c r="W11" s="69"/>
      <c r="X11" s="69"/>
      <c r="Y11" s="69"/>
      <c r="Z11" s="69"/>
      <c r="AA11" s="69"/>
    </row>
    <row r="12" spans="1:27" x14ac:dyDescent="0.2">
      <c r="A12" s="28" t="s">
        <v>5</v>
      </c>
      <c r="B12" s="16">
        <v>28736.359999999997</v>
      </c>
      <c r="C12" s="33">
        <f t="shared" si="0"/>
        <v>22054.1</v>
      </c>
      <c r="D12" s="4">
        <v>3099</v>
      </c>
      <c r="E12" s="4">
        <f>6682.26</f>
        <v>6682.26</v>
      </c>
      <c r="F12" s="4">
        <f>VLOOKUP($A12,'CCNL Economico 2022'!$Q$7:$S$37,3,FALSE)</f>
        <v>2909.4</v>
      </c>
      <c r="G12" s="4">
        <f>VLOOKUP($A12,'CCNL Economico 2022'!$A$7:$E$38,5,FALSE)</f>
        <v>0</v>
      </c>
      <c r="H12" s="4">
        <f t="shared" si="2"/>
        <v>2394.6999999999998</v>
      </c>
      <c r="I12" s="4">
        <f t="shared" si="3"/>
        <v>37139.46</v>
      </c>
      <c r="J12" s="4">
        <f t="shared" si="1"/>
        <v>11882.800000000001</v>
      </c>
      <c r="K12" s="4">
        <f t="shared" si="4"/>
        <v>3157</v>
      </c>
      <c r="L12" s="4">
        <f t="shared" si="5"/>
        <v>52179.26</v>
      </c>
      <c r="M12" s="23">
        <f t="shared" si="6"/>
        <v>15039.800000000001</v>
      </c>
      <c r="N12" s="16" t="s">
        <v>5</v>
      </c>
      <c r="O12" s="66"/>
      <c r="P12" s="67"/>
      <c r="Q12" s="68"/>
      <c r="R12" s="68"/>
      <c r="S12" s="67"/>
      <c r="T12" s="67"/>
      <c r="V12" s="69"/>
      <c r="W12" s="69"/>
      <c r="X12" s="69"/>
      <c r="Y12" s="69"/>
      <c r="Z12" s="69"/>
      <c r="AA12" s="69"/>
    </row>
    <row r="13" spans="1:27" ht="13.5" thickBot="1" x14ac:dyDescent="0.25">
      <c r="A13" s="29" t="s">
        <v>6</v>
      </c>
      <c r="B13" s="36">
        <v>27024.45</v>
      </c>
      <c r="C13" s="35">
        <f t="shared" si="0"/>
        <v>20342.190000000002</v>
      </c>
      <c r="D13" s="5">
        <v>3099</v>
      </c>
      <c r="E13" s="5">
        <f>6682.26</f>
        <v>6682.26</v>
      </c>
      <c r="F13" s="5">
        <f>VLOOKUP($A13,'CCNL Economico 2022'!$Q$7:$S$37,3,FALSE)</f>
        <v>2909.4</v>
      </c>
      <c r="G13" s="5">
        <f>VLOOKUP($A13,'CCNL Economico 2022'!$A$7:$E$38,5,FALSE)</f>
        <v>0</v>
      </c>
      <c r="H13" s="5">
        <f t="shared" si="2"/>
        <v>2252.04</v>
      </c>
      <c r="I13" s="5">
        <f t="shared" si="3"/>
        <v>35284.89</v>
      </c>
      <c r="J13" s="5">
        <f t="shared" si="1"/>
        <v>11254.02</v>
      </c>
      <c r="K13" s="5">
        <f t="shared" si="4"/>
        <v>2999</v>
      </c>
      <c r="L13" s="5">
        <f t="shared" si="5"/>
        <v>49537.91</v>
      </c>
      <c r="M13" s="24">
        <f t="shared" si="6"/>
        <v>14253.02</v>
      </c>
      <c r="N13" s="17" t="s">
        <v>6</v>
      </c>
      <c r="O13" s="66"/>
      <c r="P13" s="67"/>
      <c r="Q13" s="68"/>
      <c r="R13" s="68"/>
      <c r="S13" s="67"/>
      <c r="T13" s="67"/>
      <c r="V13" s="69"/>
      <c r="W13" s="69"/>
      <c r="X13" s="69"/>
      <c r="Y13" s="69"/>
      <c r="Z13" s="69"/>
      <c r="AA13" s="69"/>
    </row>
    <row r="14" spans="1:27" x14ac:dyDescent="0.2">
      <c r="A14" s="26" t="s">
        <v>44</v>
      </c>
      <c r="B14" s="15">
        <v>31217.34</v>
      </c>
      <c r="C14" s="34">
        <f t="shared" si="0"/>
        <v>24672.1</v>
      </c>
      <c r="D14" s="3"/>
      <c r="E14" s="3">
        <f>6545.24</f>
        <v>6545.24</v>
      </c>
      <c r="F14" s="3">
        <f>VLOOKUP($A14,'CCNL Economico 2022'!$Q$7:$S$37,3,FALSE)</f>
        <v>2422.16</v>
      </c>
      <c r="G14" s="3">
        <f>VLOOKUP($A14,'CCNL Economico 2022'!$A$7:$E$38,5,FALSE)</f>
        <v>0</v>
      </c>
      <c r="H14" s="3">
        <f t="shared" si="2"/>
        <v>2601.4499999999998</v>
      </c>
      <c r="I14" s="3">
        <f t="shared" si="3"/>
        <v>36240.949999999997</v>
      </c>
      <c r="J14" s="3">
        <f>+I14*29.88%</f>
        <v>10828.79586</v>
      </c>
      <c r="K14" s="3">
        <f>ROUND(I14*8.5%,0)</f>
        <v>3080</v>
      </c>
      <c r="L14" s="3">
        <f>I14+J14+K14</f>
        <v>50149.745859999995</v>
      </c>
      <c r="M14" s="22">
        <f>J14+K14</f>
        <v>13908.79586</v>
      </c>
      <c r="N14" s="19" t="str">
        <f>A14</f>
        <v>D8</v>
      </c>
      <c r="O14" s="66"/>
      <c r="P14" s="67"/>
      <c r="Q14" s="68"/>
      <c r="R14" s="68"/>
      <c r="S14" s="67"/>
      <c r="T14" s="67"/>
      <c r="V14" s="69"/>
      <c r="W14" s="69"/>
      <c r="X14" s="69"/>
      <c r="Y14" s="69"/>
      <c r="Z14" s="69"/>
      <c r="AA14" s="69"/>
    </row>
    <row r="15" spans="1:27" x14ac:dyDescent="0.2">
      <c r="A15" s="27" t="s">
        <v>7</v>
      </c>
      <c r="B15" s="16">
        <v>30312.9</v>
      </c>
      <c r="C15" s="33">
        <f>B15-E15</f>
        <v>23767.660000000003</v>
      </c>
      <c r="D15" s="4"/>
      <c r="E15" s="4">
        <f t="shared" ref="E15:E21" si="7">6545.24</f>
        <v>6545.24</v>
      </c>
      <c r="F15" s="4">
        <f>VLOOKUP($A15,'CCNL Economico 2022'!$Q$7:$S$37,3,FALSE)</f>
        <v>2422.16</v>
      </c>
      <c r="G15" s="4">
        <f>VLOOKUP($A15,'CCNL Economico 2022'!$A$7:$E$38,5,FALSE)</f>
        <v>0</v>
      </c>
      <c r="H15" s="4">
        <f>ROUND((B15)/12,2)</f>
        <v>2526.08</v>
      </c>
      <c r="I15" s="4">
        <f>B15+D15+G15+H15+F15</f>
        <v>35261.14</v>
      </c>
      <c r="J15" s="4">
        <f t="shared" ref="J15:J19" si="8">+I15*29.88%</f>
        <v>10536.028632</v>
      </c>
      <c r="K15" s="4">
        <f>ROUND(I15*8.5%,0)</f>
        <v>2997</v>
      </c>
      <c r="L15" s="4">
        <f>I15+J15+K15</f>
        <v>48794.168632000001</v>
      </c>
      <c r="M15" s="23">
        <f>J15+K15</f>
        <v>13533.028632</v>
      </c>
      <c r="N15" s="20" t="str">
        <f>A15</f>
        <v>D7</v>
      </c>
      <c r="O15" s="66"/>
      <c r="P15" s="67"/>
      <c r="Q15" s="68"/>
      <c r="R15" s="68"/>
      <c r="S15" s="67"/>
      <c r="T15" s="67"/>
      <c r="V15" s="69"/>
      <c r="W15" s="69"/>
      <c r="X15" s="69"/>
      <c r="Y15" s="69"/>
      <c r="Z15" s="69"/>
      <c r="AA15" s="69"/>
    </row>
    <row r="16" spans="1:27" x14ac:dyDescent="0.2">
      <c r="A16" s="28" t="s">
        <v>8</v>
      </c>
      <c r="B16" s="16">
        <v>29251.24</v>
      </c>
      <c r="C16" s="33">
        <f t="shared" si="0"/>
        <v>22706</v>
      </c>
      <c r="D16" s="4"/>
      <c r="E16" s="4">
        <f t="shared" si="7"/>
        <v>6545.24</v>
      </c>
      <c r="F16" s="4">
        <f>VLOOKUP($A16,'CCNL Economico 2022'!$Q$7:$S$37,3,FALSE)</f>
        <v>2422.16</v>
      </c>
      <c r="G16" s="4">
        <f>VLOOKUP($A16,'CCNL Economico 2022'!$A$7:$E$38,5,FALSE)</f>
        <v>0</v>
      </c>
      <c r="H16" s="4">
        <f t="shared" si="2"/>
        <v>2437.6</v>
      </c>
      <c r="I16" s="4">
        <f t="shared" si="3"/>
        <v>34111</v>
      </c>
      <c r="J16" s="4">
        <f t="shared" si="8"/>
        <v>10192.3668</v>
      </c>
      <c r="K16" s="4">
        <f>ROUND(I16*8.5%,0)</f>
        <v>2899</v>
      </c>
      <c r="L16" s="4">
        <f>I16+J16+K16</f>
        <v>47202.366800000003</v>
      </c>
      <c r="M16" s="23">
        <f>J16+K16</f>
        <v>13091.3668</v>
      </c>
      <c r="N16" s="20" t="str">
        <f>A16</f>
        <v>D6</v>
      </c>
      <c r="O16" s="66"/>
      <c r="P16" s="67"/>
      <c r="Q16" s="68"/>
      <c r="R16" s="68"/>
      <c r="S16" s="67"/>
      <c r="T16" s="67"/>
      <c r="V16" s="69"/>
      <c r="W16" s="69"/>
      <c r="X16" s="69"/>
      <c r="Y16" s="69"/>
      <c r="Z16" s="69"/>
      <c r="AA16" s="69"/>
    </row>
    <row r="17" spans="1:27" x14ac:dyDescent="0.2">
      <c r="A17" s="28" t="s">
        <v>9</v>
      </c>
      <c r="B17" s="16">
        <v>28232.100000000002</v>
      </c>
      <c r="C17" s="33">
        <f t="shared" si="0"/>
        <v>21686.86</v>
      </c>
      <c r="D17" s="4"/>
      <c r="E17" s="4">
        <f t="shared" si="7"/>
        <v>6545.24</v>
      </c>
      <c r="F17" s="4">
        <f>VLOOKUP($A17,'CCNL Economico 2022'!$Q$7:$S$37,3,FALSE)</f>
        <v>2422.16</v>
      </c>
      <c r="G17" s="4">
        <f>VLOOKUP($A17,'CCNL Economico 2022'!$A$7:$E$38,5,FALSE)</f>
        <v>0</v>
      </c>
      <c r="H17" s="4">
        <f t="shared" si="2"/>
        <v>2352.6799999999998</v>
      </c>
      <c r="I17" s="4">
        <f t="shared" si="3"/>
        <v>33006.94</v>
      </c>
      <c r="J17" s="4">
        <f t="shared" si="8"/>
        <v>9862.4736720000019</v>
      </c>
      <c r="K17" s="4">
        <f t="shared" si="4"/>
        <v>2806</v>
      </c>
      <c r="L17" s="4">
        <f t="shared" si="5"/>
        <v>45675.413672000002</v>
      </c>
      <c r="M17" s="23">
        <f t="shared" si="6"/>
        <v>12668.473672000002</v>
      </c>
      <c r="N17" s="20" t="s">
        <v>9</v>
      </c>
      <c r="O17" s="66"/>
      <c r="P17" s="67"/>
      <c r="Q17" s="68"/>
      <c r="R17" s="68"/>
      <c r="S17" s="67"/>
      <c r="T17" s="67"/>
      <c r="V17" s="69"/>
      <c r="W17" s="69"/>
      <c r="X17" s="69"/>
      <c r="Y17" s="69"/>
      <c r="Z17" s="69"/>
      <c r="AA17" s="69"/>
    </row>
    <row r="18" spans="1:27" x14ac:dyDescent="0.2">
      <c r="A18" s="28" t="s">
        <v>10</v>
      </c>
      <c r="B18" s="16">
        <v>27259.079999999998</v>
      </c>
      <c r="C18" s="33">
        <f t="shared" si="0"/>
        <v>20713.839999999997</v>
      </c>
      <c r="D18" s="4"/>
      <c r="E18" s="4">
        <f t="shared" si="7"/>
        <v>6545.24</v>
      </c>
      <c r="F18" s="4">
        <f>VLOOKUP($A18,'CCNL Economico 2022'!$Q$7:$S$37,3,FALSE)</f>
        <v>2422.16</v>
      </c>
      <c r="G18" s="4">
        <f>VLOOKUP($A18,'CCNL Economico 2022'!$A$7:$E$38,5,FALSE)</f>
        <v>0</v>
      </c>
      <c r="H18" s="4">
        <f t="shared" si="2"/>
        <v>2271.59</v>
      </c>
      <c r="I18" s="4">
        <f t="shared" si="3"/>
        <v>31952.829999999998</v>
      </c>
      <c r="J18" s="4">
        <f t="shared" si="8"/>
        <v>9547.5056039999999</v>
      </c>
      <c r="K18" s="4">
        <f t="shared" si="4"/>
        <v>2716</v>
      </c>
      <c r="L18" s="4">
        <f t="shared" si="5"/>
        <v>44216.335604</v>
      </c>
      <c r="M18" s="23">
        <f t="shared" si="6"/>
        <v>12263.505604</v>
      </c>
      <c r="N18" s="20" t="s">
        <v>10</v>
      </c>
      <c r="O18" s="66"/>
      <c r="P18" s="67"/>
      <c r="Q18" s="68"/>
      <c r="R18" s="68"/>
      <c r="S18" s="67"/>
      <c r="T18" s="67"/>
      <c r="V18" s="69"/>
      <c r="W18" s="69"/>
      <c r="X18" s="69"/>
      <c r="Y18" s="69"/>
      <c r="Z18" s="69"/>
      <c r="AA18" s="69"/>
    </row>
    <row r="19" spans="1:27" s="6" customFormat="1" x14ac:dyDescent="0.2">
      <c r="A19" s="28" t="s">
        <v>11</v>
      </c>
      <c r="B19" s="16">
        <v>25940.93</v>
      </c>
      <c r="C19" s="33">
        <f t="shared" si="0"/>
        <v>19395.690000000002</v>
      </c>
      <c r="D19" s="4"/>
      <c r="E19" s="4">
        <f t="shared" si="7"/>
        <v>6545.24</v>
      </c>
      <c r="F19" s="4">
        <f>VLOOKUP($A19,'CCNL Economico 2022'!$Q$7:$S$37,3,FALSE)</f>
        <v>2422.16</v>
      </c>
      <c r="G19" s="4">
        <f>VLOOKUP($A19,'CCNL Economico 2022'!$A$7:$E$38,5,FALSE)</f>
        <v>0</v>
      </c>
      <c r="H19" s="4">
        <f t="shared" si="2"/>
        <v>2161.7399999999998</v>
      </c>
      <c r="I19" s="4">
        <f t="shared" si="3"/>
        <v>30524.829999999998</v>
      </c>
      <c r="J19" s="4">
        <f t="shared" si="8"/>
        <v>9120.8192039999994</v>
      </c>
      <c r="K19" s="4">
        <f t="shared" si="4"/>
        <v>2595</v>
      </c>
      <c r="L19" s="4">
        <f t="shared" si="5"/>
        <v>42240.649204000001</v>
      </c>
      <c r="M19" s="23">
        <f t="shared" si="6"/>
        <v>11715.819203999999</v>
      </c>
      <c r="N19" s="20" t="s">
        <v>11</v>
      </c>
      <c r="O19" s="66"/>
      <c r="P19" s="67"/>
      <c r="Q19" s="68"/>
      <c r="R19" s="68"/>
      <c r="S19" s="67"/>
      <c r="T19" s="67"/>
      <c r="V19" s="69"/>
      <c r="W19" s="69"/>
      <c r="X19" s="69"/>
      <c r="Y19" s="69"/>
      <c r="Z19" s="69"/>
      <c r="AA19" s="69"/>
    </row>
    <row r="20" spans="1:27" s="6" customFormat="1" x14ac:dyDescent="0.2">
      <c r="A20" s="28" t="s">
        <v>12</v>
      </c>
      <c r="B20" s="16">
        <v>24860.68</v>
      </c>
      <c r="C20" s="33">
        <f t="shared" si="0"/>
        <v>18315.440000000002</v>
      </c>
      <c r="D20" s="4"/>
      <c r="E20" s="4">
        <f t="shared" si="7"/>
        <v>6545.24</v>
      </c>
      <c r="F20" s="4">
        <f>VLOOKUP($A20,'CCNL Economico 2022'!$Q$7:$S$37,3,FALSE)</f>
        <v>2422.16</v>
      </c>
      <c r="G20" s="4">
        <f>VLOOKUP($A20,'CCNL Economico 2022'!$A$7:$E$38,5,FALSE)</f>
        <v>84</v>
      </c>
      <c r="H20" s="4">
        <f t="shared" si="2"/>
        <v>2071.7199999999998</v>
      </c>
      <c r="I20" s="4">
        <f t="shared" si="3"/>
        <v>29438.560000000001</v>
      </c>
      <c r="J20" s="4">
        <f>+(+I20-G20)*29.88%+G20*24.2%</f>
        <v>8791.4705279999998</v>
      </c>
      <c r="K20" s="4">
        <f t="shared" si="4"/>
        <v>2502</v>
      </c>
      <c r="L20" s="4">
        <f t="shared" si="5"/>
        <v>40732.030528000003</v>
      </c>
      <c r="M20" s="23">
        <f t="shared" si="6"/>
        <v>11293.470528</v>
      </c>
      <c r="N20" s="20" t="s">
        <v>12</v>
      </c>
      <c r="O20" s="66"/>
      <c r="P20" s="67"/>
      <c r="Q20" s="68"/>
      <c r="R20" s="68"/>
      <c r="S20" s="67"/>
      <c r="T20" s="67"/>
      <c r="V20" s="69"/>
      <c r="W20" s="69"/>
      <c r="X20" s="69"/>
      <c r="Y20" s="69"/>
      <c r="Z20" s="69"/>
      <c r="AA20" s="69"/>
    </row>
    <row r="21" spans="1:27" s="6" customFormat="1" ht="13.5" thickBot="1" x14ac:dyDescent="0.25">
      <c r="A21" s="29" t="s">
        <v>13</v>
      </c>
      <c r="B21" s="36">
        <v>23925.870000000003</v>
      </c>
      <c r="C21" s="35">
        <f t="shared" si="0"/>
        <v>17380.630000000005</v>
      </c>
      <c r="D21" s="5"/>
      <c r="E21" s="5">
        <f t="shared" si="7"/>
        <v>6545.24</v>
      </c>
      <c r="F21" s="5">
        <f>VLOOKUP($A21,'CCNL Economico 2022'!$Q$7:$S$37,3,FALSE)</f>
        <v>2422.16</v>
      </c>
      <c r="G21" s="5">
        <f>VLOOKUP($A21,'CCNL Economico 2022'!$A$7:$E$38,5,FALSE)</f>
        <v>108</v>
      </c>
      <c r="H21" s="5">
        <f t="shared" si="2"/>
        <v>1993.82</v>
      </c>
      <c r="I21" s="5">
        <f t="shared" si="3"/>
        <v>28449.850000000002</v>
      </c>
      <c r="J21" s="5">
        <f t="shared" ref="J21:J36" si="9">+(+I21-G21)*29.88%+G21*24.2%</f>
        <v>8494.6807800000006</v>
      </c>
      <c r="K21" s="5">
        <f t="shared" si="4"/>
        <v>2418</v>
      </c>
      <c r="L21" s="5">
        <f t="shared" si="5"/>
        <v>39362.530780000001</v>
      </c>
      <c r="M21" s="24">
        <f t="shared" si="6"/>
        <v>10912.680780000001</v>
      </c>
      <c r="N21" s="21" t="s">
        <v>13</v>
      </c>
      <c r="O21" s="66"/>
      <c r="P21" s="67"/>
      <c r="Q21" s="68"/>
      <c r="R21" s="68"/>
      <c r="S21" s="67"/>
      <c r="T21" s="67"/>
      <c r="V21" s="69"/>
      <c r="W21" s="69"/>
      <c r="X21" s="69"/>
      <c r="Y21" s="69"/>
      <c r="Z21" s="69"/>
      <c r="AA21" s="69"/>
    </row>
    <row r="22" spans="1:27" s="6" customFormat="1" x14ac:dyDescent="0.2">
      <c r="A22" s="26" t="s">
        <v>45</v>
      </c>
      <c r="B22" s="15">
        <v>25903.34</v>
      </c>
      <c r="C22" s="34">
        <f t="shared" si="0"/>
        <v>19453.260000000002</v>
      </c>
      <c r="D22" s="3"/>
      <c r="E22" s="3">
        <f>6450.08</f>
        <v>6450.08</v>
      </c>
      <c r="F22" s="3">
        <f>VLOOKUP($A22,'CCNL Economico 2022'!$Q$7:$S$37,3,FALSE)</f>
        <v>1693.97</v>
      </c>
      <c r="G22" s="3">
        <f>VLOOKUP($A22,'CCNL Economico 2022'!$A$7:$E$38,5,FALSE)</f>
        <v>0</v>
      </c>
      <c r="H22" s="3">
        <f t="shared" si="2"/>
        <v>2158.61</v>
      </c>
      <c r="I22" s="3">
        <f t="shared" si="3"/>
        <v>29755.920000000002</v>
      </c>
      <c r="J22" s="3">
        <f t="shared" si="9"/>
        <v>8891.0688960000007</v>
      </c>
      <c r="K22" s="3">
        <f>ROUND(I22*8.5%,0)</f>
        <v>2529</v>
      </c>
      <c r="L22" s="3">
        <f>I22+J22+K22</f>
        <v>41175.988896000003</v>
      </c>
      <c r="M22" s="22">
        <f>J22+K22</f>
        <v>11420.068896000001</v>
      </c>
      <c r="N22" s="19" t="str">
        <f>A22</f>
        <v>C8</v>
      </c>
      <c r="O22" s="66"/>
      <c r="P22" s="67"/>
      <c r="Q22" s="68"/>
      <c r="R22" s="68"/>
      <c r="S22" s="67"/>
      <c r="T22" s="67"/>
      <c r="V22" s="69"/>
      <c r="W22" s="69"/>
      <c r="X22" s="69"/>
      <c r="Y22" s="69"/>
      <c r="Z22" s="69"/>
      <c r="AA22" s="69"/>
    </row>
    <row r="23" spans="1:27" s="6" customFormat="1" x14ac:dyDescent="0.2">
      <c r="A23" s="27" t="s">
        <v>14</v>
      </c>
      <c r="B23" s="16">
        <v>25099.379999999997</v>
      </c>
      <c r="C23" s="33">
        <f>B23-E23</f>
        <v>18649.299999999996</v>
      </c>
      <c r="D23" s="4"/>
      <c r="E23" s="4">
        <f>6450.08</f>
        <v>6450.08</v>
      </c>
      <c r="F23" s="4">
        <f>VLOOKUP($A23,'CCNL Economico 2022'!$Q$7:$S$37,3,FALSE)</f>
        <v>1693.97</v>
      </c>
      <c r="G23" s="4">
        <f>VLOOKUP($A23,'CCNL Economico 2022'!$A$7:$E$38,5,FALSE)</f>
        <v>60</v>
      </c>
      <c r="H23" s="4">
        <f>ROUND((B23)/12,2)</f>
        <v>2091.62</v>
      </c>
      <c r="I23" s="4">
        <f>B23+D23+G23+H23+F23</f>
        <v>28944.969999999998</v>
      </c>
      <c r="J23" s="4">
        <f t="shared" si="9"/>
        <v>8645.3490359999996</v>
      </c>
      <c r="K23" s="4">
        <f>ROUND(I23*8.5%,0)</f>
        <v>2460</v>
      </c>
      <c r="L23" s="4">
        <f>I23+J23+K23</f>
        <v>40050.319036000001</v>
      </c>
      <c r="M23" s="23">
        <f>J23+K23</f>
        <v>11105.349036</v>
      </c>
      <c r="N23" s="20" t="str">
        <f>A23</f>
        <v>C7</v>
      </c>
      <c r="O23" s="66"/>
      <c r="P23" s="67"/>
      <c r="Q23" s="68"/>
      <c r="R23" s="68"/>
      <c r="S23" s="67"/>
      <c r="T23" s="67"/>
      <c r="V23" s="69"/>
      <c r="W23" s="69"/>
      <c r="X23" s="69"/>
      <c r="Y23" s="69"/>
      <c r="Z23" s="69"/>
      <c r="AA23" s="69"/>
    </row>
    <row r="24" spans="1:27" s="6" customFormat="1" x14ac:dyDescent="0.2">
      <c r="A24" s="28" t="s">
        <v>15</v>
      </c>
      <c r="B24" s="16">
        <v>24306.12</v>
      </c>
      <c r="C24" s="33">
        <f t="shared" si="0"/>
        <v>17856.04</v>
      </c>
      <c r="D24" s="4"/>
      <c r="E24" s="4">
        <f>6450.08</f>
        <v>6450.08</v>
      </c>
      <c r="F24" s="4">
        <f>VLOOKUP($A24,'CCNL Economico 2022'!$Q$7:$S$37,3,FALSE)</f>
        <v>1693.97</v>
      </c>
      <c r="G24" s="4">
        <f>VLOOKUP($A24,'CCNL Economico 2022'!$A$7:$E$38,5,FALSE)</f>
        <v>96</v>
      </c>
      <c r="H24" s="4">
        <f t="shared" si="2"/>
        <v>2025.51</v>
      </c>
      <c r="I24" s="4">
        <f t="shared" si="3"/>
        <v>28121.599999999999</v>
      </c>
      <c r="J24" s="4">
        <f t="shared" si="9"/>
        <v>8397.2812799999992</v>
      </c>
      <c r="K24" s="4">
        <f>ROUND(I24*8.5%,0)</f>
        <v>2390</v>
      </c>
      <c r="L24" s="4">
        <f>I24+J24+K24</f>
        <v>38908.881280000001</v>
      </c>
      <c r="M24" s="23">
        <f>J24+K24</f>
        <v>10787.281279999999</v>
      </c>
      <c r="N24" s="20" t="str">
        <f>A24</f>
        <v>C6</v>
      </c>
      <c r="O24" s="66"/>
      <c r="P24" s="67"/>
      <c r="Q24" s="68"/>
      <c r="R24" s="68"/>
      <c r="S24" s="67"/>
      <c r="T24" s="67"/>
      <c r="V24" s="69"/>
      <c r="W24" s="69"/>
      <c r="X24" s="69"/>
      <c r="Y24" s="69"/>
      <c r="Z24" s="69"/>
      <c r="AA24" s="69"/>
    </row>
    <row r="25" spans="1:27" s="6" customFormat="1" x14ac:dyDescent="0.2">
      <c r="A25" s="28" t="s">
        <v>16</v>
      </c>
      <c r="B25" s="16">
        <v>23541.239999999998</v>
      </c>
      <c r="C25" s="33">
        <f t="shared" si="0"/>
        <v>17091.159999999996</v>
      </c>
      <c r="D25" s="4"/>
      <c r="E25" s="4">
        <f>6450.08</f>
        <v>6450.08</v>
      </c>
      <c r="F25" s="4">
        <f>VLOOKUP($A25,'CCNL Economico 2022'!$Q$7:$S$37,3,FALSE)</f>
        <v>1693.97</v>
      </c>
      <c r="G25" s="4">
        <f>VLOOKUP($A25,'CCNL Economico 2022'!$A$7:$E$38,5,FALSE)</f>
        <v>120</v>
      </c>
      <c r="H25" s="4">
        <f t="shared" si="2"/>
        <v>1961.77</v>
      </c>
      <c r="I25" s="4">
        <f t="shared" si="3"/>
        <v>27316.98</v>
      </c>
      <c r="J25" s="4">
        <f t="shared" si="9"/>
        <v>8155.4976240000005</v>
      </c>
      <c r="K25" s="4">
        <f t="shared" si="4"/>
        <v>2322</v>
      </c>
      <c r="L25" s="4">
        <f>I25+J25+K25</f>
        <v>37794.477623999999</v>
      </c>
      <c r="M25" s="23">
        <f t="shared" si="6"/>
        <v>10477.497624</v>
      </c>
      <c r="N25" s="20" t="s">
        <v>16</v>
      </c>
      <c r="O25" s="66"/>
      <c r="P25" s="67"/>
      <c r="Q25" s="68"/>
      <c r="R25" s="68"/>
      <c r="S25" s="67"/>
      <c r="T25" s="67"/>
      <c r="V25" s="69"/>
      <c r="W25" s="69"/>
      <c r="X25" s="69"/>
      <c r="Y25" s="69"/>
      <c r="Z25" s="69"/>
      <c r="AA25" s="69"/>
    </row>
    <row r="26" spans="1:27" s="6" customFormat="1" x14ac:dyDescent="0.2">
      <c r="A26" s="27" t="s">
        <v>17</v>
      </c>
      <c r="B26" s="16">
        <v>22806.48</v>
      </c>
      <c r="C26" s="33">
        <f t="shared" si="0"/>
        <v>16356.4</v>
      </c>
      <c r="D26" s="4"/>
      <c r="E26" s="4">
        <f>6450.08</f>
        <v>6450.08</v>
      </c>
      <c r="F26" s="4">
        <f>VLOOKUP($A26,'CCNL Economico 2022'!$Q$7:$S$37,3,FALSE)</f>
        <v>1693.97</v>
      </c>
      <c r="G26" s="4">
        <f>VLOOKUP($A26,'CCNL Economico 2022'!$A$7:$E$38,5,FALSE)</f>
        <v>156</v>
      </c>
      <c r="H26" s="4">
        <f t="shared" si="2"/>
        <v>1900.54</v>
      </c>
      <c r="I26" s="4">
        <f t="shared" si="3"/>
        <v>26556.99</v>
      </c>
      <c r="J26" s="4">
        <f t="shared" si="9"/>
        <v>7926.3678120000013</v>
      </c>
      <c r="K26" s="4">
        <f t="shared" si="4"/>
        <v>2257</v>
      </c>
      <c r="L26" s="4">
        <f t="shared" si="5"/>
        <v>36740.357812000002</v>
      </c>
      <c r="M26" s="23">
        <f t="shared" si="6"/>
        <v>10183.367812</v>
      </c>
      <c r="N26" s="20" t="s">
        <v>17</v>
      </c>
      <c r="O26" s="66"/>
      <c r="P26" s="67"/>
      <c r="Q26" s="68"/>
      <c r="R26" s="68"/>
      <c r="S26" s="67"/>
      <c r="T26" s="67"/>
      <c r="V26" s="69"/>
      <c r="W26" s="69"/>
      <c r="X26" s="69"/>
      <c r="Y26" s="69"/>
      <c r="Z26" s="69"/>
      <c r="AA26" s="69"/>
    </row>
    <row r="27" spans="1:27" s="6" customFormat="1" x14ac:dyDescent="0.2">
      <c r="A27" s="28" t="s">
        <v>18</v>
      </c>
      <c r="B27" s="16">
        <v>21690.960000000003</v>
      </c>
      <c r="C27" s="33">
        <f t="shared" si="0"/>
        <v>15318.320000000003</v>
      </c>
      <c r="D27" s="4"/>
      <c r="E27" s="4">
        <f>6372.64</f>
        <v>6372.64</v>
      </c>
      <c r="F27" s="4">
        <f>VLOOKUP($A27,'CCNL Economico 2022'!$Q$7:$S$37,3,FALSE)</f>
        <v>1693.97</v>
      </c>
      <c r="G27" s="4">
        <f>VLOOKUP($A27,'CCNL Economico 2022'!$A$7:$E$38,5,FALSE)</f>
        <v>192</v>
      </c>
      <c r="H27" s="4">
        <f t="shared" si="2"/>
        <v>1807.58</v>
      </c>
      <c r="I27" s="4">
        <f t="shared" si="3"/>
        <v>25384.510000000002</v>
      </c>
      <c r="J27" s="4">
        <f t="shared" si="9"/>
        <v>7573.9859880000004</v>
      </c>
      <c r="K27" s="4">
        <f t="shared" si="4"/>
        <v>2158</v>
      </c>
      <c r="L27" s="4">
        <f t="shared" si="5"/>
        <v>35116.495988000002</v>
      </c>
      <c r="M27" s="23">
        <f t="shared" si="6"/>
        <v>9731.9859880000004</v>
      </c>
      <c r="N27" s="20" t="s">
        <v>18</v>
      </c>
      <c r="O27" s="66"/>
      <c r="P27" s="67"/>
      <c r="Q27" s="68"/>
      <c r="R27" s="68"/>
      <c r="S27" s="67"/>
      <c r="T27" s="67"/>
      <c r="V27" s="69"/>
      <c r="W27" s="69"/>
      <c r="X27" s="69"/>
      <c r="Y27" s="69"/>
      <c r="Z27" s="69"/>
      <c r="AA27" s="69"/>
    </row>
    <row r="28" spans="1:27" s="6" customFormat="1" x14ac:dyDescent="0.2">
      <c r="A28" s="28" t="s">
        <v>19</v>
      </c>
      <c r="B28" s="16">
        <v>20854.559999999998</v>
      </c>
      <c r="C28" s="33">
        <f>B28-E28</f>
        <v>14481.919999999998</v>
      </c>
      <c r="D28" s="4"/>
      <c r="E28" s="4">
        <f>6372.64</f>
        <v>6372.64</v>
      </c>
      <c r="F28" s="4">
        <f>VLOOKUP($A28,'CCNL Economico 2022'!$Q$7:$S$37,3,FALSE)</f>
        <v>1693.97</v>
      </c>
      <c r="G28" s="4">
        <f>VLOOKUP($A28,'CCNL Economico 2022'!$A$7:$E$38,5,FALSE)</f>
        <v>228</v>
      </c>
      <c r="H28" s="4">
        <f t="shared" si="2"/>
        <v>1737.88</v>
      </c>
      <c r="I28" s="4">
        <f t="shared" si="3"/>
        <v>24514.41</v>
      </c>
      <c r="J28" s="4">
        <f t="shared" si="9"/>
        <v>7311.9553080000005</v>
      </c>
      <c r="K28" s="4">
        <f t="shared" si="4"/>
        <v>2084</v>
      </c>
      <c r="L28" s="4">
        <f t="shared" si="5"/>
        <v>33910.365308</v>
      </c>
      <c r="M28" s="23">
        <f t="shared" si="6"/>
        <v>9395.9553080000005</v>
      </c>
      <c r="N28" s="20" t="s">
        <v>19</v>
      </c>
      <c r="O28" s="66"/>
      <c r="P28" s="67"/>
      <c r="Q28" s="68"/>
      <c r="R28" s="68"/>
      <c r="S28" s="67"/>
      <c r="T28" s="67"/>
      <c r="V28" s="69"/>
      <c r="W28" s="69"/>
      <c r="X28" s="69"/>
      <c r="Y28" s="69"/>
      <c r="Z28" s="69"/>
      <c r="AA28" s="69"/>
    </row>
    <row r="29" spans="1:27" s="6" customFormat="1" ht="13.5" thickBot="1" x14ac:dyDescent="0.25">
      <c r="A29" s="29" t="s">
        <v>20</v>
      </c>
      <c r="B29" s="36">
        <v>20455.96</v>
      </c>
      <c r="C29" s="35">
        <f t="shared" si="0"/>
        <v>14083.32</v>
      </c>
      <c r="D29" s="5"/>
      <c r="E29" s="5">
        <f>6372.64</f>
        <v>6372.64</v>
      </c>
      <c r="F29" s="5">
        <f>VLOOKUP($A29,'CCNL Economico 2022'!$Q$7:$S$37,3,FALSE)</f>
        <v>1693.97</v>
      </c>
      <c r="G29" s="5">
        <f>VLOOKUP($A29,'CCNL Economico 2022'!$A$7:$E$38,5,FALSE)</f>
        <v>240</v>
      </c>
      <c r="H29" s="5">
        <f t="shared" si="2"/>
        <v>1704.66</v>
      </c>
      <c r="I29" s="5">
        <f t="shared" si="3"/>
        <v>24094.59</v>
      </c>
      <c r="J29" s="5">
        <f t="shared" si="9"/>
        <v>7185.8314920000003</v>
      </c>
      <c r="K29" s="5">
        <f t="shared" si="4"/>
        <v>2048</v>
      </c>
      <c r="L29" s="5">
        <f t="shared" si="5"/>
        <v>33328.421492000001</v>
      </c>
      <c r="M29" s="24">
        <f t="shared" si="6"/>
        <v>9233.8314920000012</v>
      </c>
      <c r="N29" s="21" t="s">
        <v>20</v>
      </c>
      <c r="O29" s="66"/>
      <c r="P29" s="67"/>
      <c r="Q29" s="68"/>
      <c r="R29" s="68"/>
      <c r="S29" s="67"/>
      <c r="T29" s="67"/>
      <c r="V29" s="69"/>
      <c r="W29" s="69"/>
      <c r="X29" s="69"/>
      <c r="Y29" s="69"/>
      <c r="Z29" s="69"/>
      <c r="AA29" s="69"/>
    </row>
    <row r="30" spans="1:27" s="6" customFormat="1" x14ac:dyDescent="0.2">
      <c r="A30" s="26" t="s">
        <v>31</v>
      </c>
      <c r="B30" s="15">
        <v>23045.32</v>
      </c>
      <c r="C30" s="34">
        <f t="shared" si="0"/>
        <v>16712.36</v>
      </c>
      <c r="D30" s="3"/>
      <c r="E30" s="3">
        <f>6332.96</f>
        <v>6332.96</v>
      </c>
      <c r="F30" s="3">
        <f>VLOOKUP($A30,'CCNL Economico 2022'!$Q$7:$S$37,3,FALSE)</f>
        <v>1246.1599999999999</v>
      </c>
      <c r="G30" s="3">
        <f>VLOOKUP($A30,'CCNL Economico 2022'!$A$7:$E$38,5,FALSE)</f>
        <v>0</v>
      </c>
      <c r="H30" s="3">
        <f t="shared" si="2"/>
        <v>1920.44</v>
      </c>
      <c r="I30" s="3">
        <f t="shared" si="3"/>
        <v>26211.919999999998</v>
      </c>
      <c r="J30" s="3">
        <f t="shared" si="9"/>
        <v>7832.1216960000002</v>
      </c>
      <c r="K30" s="3">
        <f>ROUND(I30*8.5%,0)</f>
        <v>2228</v>
      </c>
      <c r="L30" s="3">
        <f>I30+J30+K30</f>
        <v>36272.041696</v>
      </c>
      <c r="M30" s="22">
        <f>J30+K30</f>
        <v>10060.121696</v>
      </c>
      <c r="N30" s="19" t="str">
        <f>A30</f>
        <v>B7</v>
      </c>
      <c r="O30" s="66"/>
      <c r="P30" s="67"/>
      <c r="Q30" s="68"/>
      <c r="R30" s="68"/>
      <c r="S30" s="67"/>
      <c r="T30" s="67"/>
      <c r="V30" s="69"/>
      <c r="W30" s="69"/>
      <c r="X30" s="69"/>
      <c r="Y30" s="69"/>
      <c r="Z30" s="69"/>
      <c r="AA30" s="69"/>
    </row>
    <row r="31" spans="1:27" s="6" customFormat="1" ht="12" customHeight="1" x14ac:dyDescent="0.2">
      <c r="A31" s="27" t="s">
        <v>21</v>
      </c>
      <c r="B31" s="16">
        <v>22341.84</v>
      </c>
      <c r="C31" s="33">
        <f>B31-E31</f>
        <v>16008.880000000001</v>
      </c>
      <c r="D31" s="4"/>
      <c r="E31" s="4">
        <f>6332.96</f>
        <v>6332.96</v>
      </c>
      <c r="F31" s="4">
        <f>VLOOKUP($A31,'CCNL Economico 2022'!$Q$7:$S$37,3,FALSE)</f>
        <v>1246.1599999999999</v>
      </c>
      <c r="G31" s="4">
        <f>VLOOKUP($A31,'CCNL Economico 2022'!$A$7:$E$38,5,FALSE)</f>
        <v>168</v>
      </c>
      <c r="H31" s="4">
        <f>ROUND((B31)/12,2)</f>
        <v>1861.82</v>
      </c>
      <c r="I31" s="4">
        <f>B31+D31+G31+H31+F31</f>
        <v>25617.82</v>
      </c>
      <c r="J31" s="4">
        <f t="shared" si="9"/>
        <v>7645.0622160000003</v>
      </c>
      <c r="K31" s="4">
        <f>ROUND(I31*8.5%,0)</f>
        <v>2178</v>
      </c>
      <c r="L31" s="4">
        <f>I31+J31+K31</f>
        <v>35440.882215999998</v>
      </c>
      <c r="M31" s="23">
        <f>J31+K31</f>
        <v>9823.0622160000003</v>
      </c>
      <c r="N31" s="20" t="str">
        <f>A31</f>
        <v>B6</v>
      </c>
      <c r="O31" s="66"/>
      <c r="P31" s="67"/>
      <c r="Q31" s="68"/>
      <c r="R31" s="68"/>
      <c r="S31" s="67"/>
      <c r="T31" s="67"/>
      <c r="V31" s="69"/>
      <c r="W31" s="69"/>
      <c r="X31" s="69"/>
      <c r="Y31" s="69"/>
      <c r="Z31" s="69"/>
      <c r="AA31" s="69"/>
    </row>
    <row r="32" spans="1:27" s="6" customFormat="1" ht="12" customHeight="1" x14ac:dyDescent="0.2">
      <c r="A32" s="27" t="s">
        <v>22</v>
      </c>
      <c r="B32" s="16">
        <v>21510.66</v>
      </c>
      <c r="C32" s="33">
        <f t="shared" si="0"/>
        <v>15177.7</v>
      </c>
      <c r="D32" s="4"/>
      <c r="E32" s="4">
        <f>6332.96</f>
        <v>6332.96</v>
      </c>
      <c r="F32" s="4">
        <f>VLOOKUP($A32,'CCNL Economico 2022'!$Q$7:$S$37,3,FALSE)</f>
        <v>1246.1599999999999</v>
      </c>
      <c r="G32" s="4">
        <f>VLOOKUP($A32,'CCNL Economico 2022'!$A$7:$E$38,5,FALSE)</f>
        <v>204</v>
      </c>
      <c r="H32" s="4">
        <f t="shared" si="2"/>
        <v>1792.56</v>
      </c>
      <c r="I32" s="4">
        <f t="shared" si="3"/>
        <v>24753.38</v>
      </c>
      <c r="J32" s="4">
        <f t="shared" si="9"/>
        <v>7384.7227440000006</v>
      </c>
      <c r="K32" s="4">
        <f>ROUND(I32*8.5%,0)</f>
        <v>2104</v>
      </c>
      <c r="L32" s="4">
        <f>I32+J32+K32</f>
        <v>34242.102744000003</v>
      </c>
      <c r="M32" s="23">
        <f>J32+K32</f>
        <v>9488.7227440000006</v>
      </c>
      <c r="N32" s="20" t="str">
        <f>A32</f>
        <v>B5</v>
      </c>
      <c r="O32" s="66"/>
      <c r="P32" s="67"/>
      <c r="Q32" s="68"/>
      <c r="R32" s="68"/>
      <c r="S32" s="67"/>
      <c r="T32" s="67"/>
      <c r="V32" s="69"/>
      <c r="W32" s="69"/>
      <c r="X32" s="69"/>
      <c r="Y32" s="69"/>
      <c r="Z32" s="69"/>
      <c r="AA32" s="69"/>
    </row>
    <row r="33" spans="1:27" s="6" customFormat="1" x14ac:dyDescent="0.2">
      <c r="A33" s="27" t="s">
        <v>23</v>
      </c>
      <c r="B33" s="16">
        <v>20714.320000000003</v>
      </c>
      <c r="C33" s="33">
        <f t="shared" si="0"/>
        <v>14381.360000000004</v>
      </c>
      <c r="D33" s="4"/>
      <c r="E33" s="4">
        <f>6332.96</f>
        <v>6332.96</v>
      </c>
      <c r="F33" s="4">
        <f>VLOOKUP($A33,'CCNL Economico 2022'!$Q$7:$S$37,3,FALSE)</f>
        <v>1246.1599999999999</v>
      </c>
      <c r="G33" s="4">
        <f>VLOOKUP($A33,'CCNL Economico 2022'!$A$7:$E$38,5,FALSE)</f>
        <v>228</v>
      </c>
      <c r="H33" s="4">
        <f t="shared" si="2"/>
        <v>1726.19</v>
      </c>
      <c r="I33" s="4">
        <f t="shared" si="3"/>
        <v>23914.670000000002</v>
      </c>
      <c r="J33" s="4">
        <f t="shared" si="9"/>
        <v>7132.7529960000011</v>
      </c>
      <c r="K33" s="4">
        <f t="shared" si="4"/>
        <v>2033</v>
      </c>
      <c r="L33" s="4">
        <f t="shared" si="5"/>
        <v>33080.422996000001</v>
      </c>
      <c r="M33" s="23">
        <f t="shared" si="6"/>
        <v>9165.7529960000011</v>
      </c>
      <c r="N33" s="20" t="s">
        <v>23</v>
      </c>
      <c r="O33" s="66"/>
      <c r="P33" s="67"/>
      <c r="Q33" s="68"/>
      <c r="R33" s="68"/>
      <c r="S33" s="67"/>
      <c r="T33" s="67"/>
      <c r="V33" s="69"/>
      <c r="W33" s="69"/>
      <c r="X33" s="69"/>
      <c r="Y33" s="69"/>
      <c r="Z33" s="69"/>
      <c r="AA33" s="69"/>
    </row>
    <row r="34" spans="1:27" s="6" customFormat="1" x14ac:dyDescent="0.2">
      <c r="A34" s="30" t="s">
        <v>24</v>
      </c>
      <c r="B34" s="16">
        <v>19832.47</v>
      </c>
      <c r="C34" s="33">
        <f t="shared" si="0"/>
        <v>13499.510000000002</v>
      </c>
      <c r="D34" s="4"/>
      <c r="E34" s="4">
        <f>6332.96</f>
        <v>6332.96</v>
      </c>
      <c r="F34" s="4">
        <f>VLOOKUP($A34,'CCNL Economico 2022'!$Q$7:$S$37,3,FALSE)</f>
        <v>1246.1599999999999</v>
      </c>
      <c r="G34" s="4">
        <f>VLOOKUP($A34,'CCNL Economico 2022'!$A$7:$E$38,5,FALSE)</f>
        <v>264</v>
      </c>
      <c r="H34" s="4">
        <f t="shared" si="2"/>
        <v>1652.71</v>
      </c>
      <c r="I34" s="4">
        <f t="shared" si="3"/>
        <v>22995.34</v>
      </c>
      <c r="J34" s="4">
        <f t="shared" si="9"/>
        <v>6856.0123920000005</v>
      </c>
      <c r="K34" s="4">
        <f t="shared" si="4"/>
        <v>1955</v>
      </c>
      <c r="L34" s="4">
        <f t="shared" si="5"/>
        <v>31806.352392000001</v>
      </c>
      <c r="M34" s="23">
        <f t="shared" si="6"/>
        <v>8811.0123920000005</v>
      </c>
      <c r="N34" s="20" t="s">
        <v>24</v>
      </c>
      <c r="O34" s="66"/>
      <c r="P34" s="67"/>
      <c r="Q34" s="68"/>
      <c r="R34" s="68"/>
      <c r="S34" s="67"/>
      <c r="T34" s="67"/>
      <c r="V34" s="69"/>
      <c r="W34" s="69"/>
      <c r="X34" s="69"/>
      <c r="Y34" s="69"/>
      <c r="Z34" s="69"/>
      <c r="AA34" s="69"/>
    </row>
    <row r="35" spans="1:27" s="6" customFormat="1" x14ac:dyDescent="0.2">
      <c r="A35" s="27" t="s">
        <v>25</v>
      </c>
      <c r="B35" s="16">
        <v>18991.39</v>
      </c>
      <c r="C35" s="33">
        <f t="shared" si="0"/>
        <v>12700.25</v>
      </c>
      <c r="D35" s="4"/>
      <c r="E35" s="4">
        <f>6291.14</f>
        <v>6291.14</v>
      </c>
      <c r="F35" s="4">
        <f>VLOOKUP($A35,'CCNL Economico 2022'!$Q$7:$S$37,3,FALSE)</f>
        <v>1246.1599999999999</v>
      </c>
      <c r="G35" s="4">
        <f>VLOOKUP($A35,'CCNL Economico 2022'!$A$7:$E$38,5,FALSE)</f>
        <v>300</v>
      </c>
      <c r="H35" s="4">
        <f t="shared" si="2"/>
        <v>1582.62</v>
      </c>
      <c r="I35" s="4">
        <f t="shared" si="3"/>
        <v>22120.17</v>
      </c>
      <c r="J35" s="4">
        <f t="shared" si="9"/>
        <v>6592.4667959999997</v>
      </c>
      <c r="K35" s="4">
        <f t="shared" si="4"/>
        <v>1880</v>
      </c>
      <c r="L35" s="4">
        <f t="shared" si="5"/>
        <v>30592.636795999999</v>
      </c>
      <c r="M35" s="23">
        <f t="shared" si="6"/>
        <v>8472.4667960000006</v>
      </c>
      <c r="N35" s="20" t="s">
        <v>25</v>
      </c>
      <c r="O35" s="66"/>
      <c r="P35" s="67"/>
      <c r="Q35" s="68"/>
      <c r="R35" s="68"/>
      <c r="S35" s="67"/>
      <c r="T35" s="67"/>
      <c r="V35" s="69"/>
      <c r="W35" s="69"/>
      <c r="X35" s="69"/>
      <c r="Y35" s="69"/>
      <c r="Z35" s="69"/>
      <c r="AA35" s="69"/>
    </row>
    <row r="36" spans="1:27" s="6" customFormat="1" ht="13.5" thickBot="1" x14ac:dyDescent="0.25">
      <c r="A36" s="31" t="s">
        <v>26</v>
      </c>
      <c r="B36" s="17">
        <v>17866.219999999998</v>
      </c>
      <c r="C36" s="35">
        <f t="shared" si="0"/>
        <v>11629.699999999997</v>
      </c>
      <c r="D36" s="5"/>
      <c r="E36" s="5">
        <f>6236.52</f>
        <v>6236.52</v>
      </c>
      <c r="F36" s="5">
        <f>VLOOKUP($A36,'CCNL Economico 2022'!$Q$7:$S$37,3,FALSE)</f>
        <v>1246.1599999999999</v>
      </c>
      <c r="G36" s="5">
        <f>VLOOKUP($A36,'CCNL Economico 2022'!$A$7:$E$38,5,FALSE)</f>
        <v>336</v>
      </c>
      <c r="H36" s="5">
        <f t="shared" si="2"/>
        <v>1488.85</v>
      </c>
      <c r="I36" s="5">
        <f t="shared" si="3"/>
        <v>20937.229999999996</v>
      </c>
      <c r="J36" s="5">
        <f t="shared" si="9"/>
        <v>6236.959523999999</v>
      </c>
      <c r="K36" s="5">
        <f t="shared" si="4"/>
        <v>1780</v>
      </c>
      <c r="L36" s="5">
        <f t="shared" si="5"/>
        <v>28954.189523999994</v>
      </c>
      <c r="M36" s="24">
        <f t="shared" si="6"/>
        <v>8016.959523999999</v>
      </c>
      <c r="N36" s="21" t="s">
        <v>26</v>
      </c>
      <c r="O36" s="66"/>
      <c r="P36" s="67"/>
      <c r="Q36" s="68"/>
      <c r="R36" s="68"/>
      <c r="S36" s="67"/>
      <c r="T36" s="67"/>
      <c r="V36" s="69"/>
      <c r="W36" s="69"/>
      <c r="X36" s="69"/>
      <c r="Y36" s="69"/>
      <c r="Z36" s="69"/>
      <c r="AA36" s="69"/>
    </row>
    <row r="37" spans="1:27" x14ac:dyDescent="0.2">
      <c r="V37"/>
      <c r="W37"/>
      <c r="X37"/>
      <c r="Y37"/>
      <c r="Z37"/>
      <c r="AA37"/>
    </row>
    <row r="38" spans="1:27" x14ac:dyDescent="0.2">
      <c r="V38"/>
      <c r="W38"/>
      <c r="X38"/>
      <c r="Y38"/>
      <c r="Z38"/>
      <c r="AA38"/>
    </row>
    <row r="39" spans="1:27" s="6" customFormat="1" x14ac:dyDescent="0.2">
      <c r="G39" s="18"/>
      <c r="V39"/>
      <c r="W39"/>
      <c r="X39"/>
      <c r="Y39"/>
      <c r="Z39"/>
      <c r="AA39"/>
    </row>
    <row r="40" spans="1:27" x14ac:dyDescent="0.2">
      <c r="V40"/>
      <c r="W40"/>
      <c r="X40"/>
      <c r="Y40"/>
      <c r="Z40"/>
      <c r="AA40"/>
    </row>
  </sheetData>
  <printOptions gridLines="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DD5EB-343E-4A37-83D1-569E10612471}">
  <sheetPr codeName="Foglio7"/>
  <dimension ref="A1:AB40"/>
  <sheetViews>
    <sheetView zoomScaleNormal="100" workbookViewId="0">
      <selection activeCell="F7" sqref="F7"/>
    </sheetView>
  </sheetViews>
  <sheetFormatPr defaultRowHeight="12.75" x14ac:dyDescent="0.2"/>
  <cols>
    <col min="1" max="1" width="6.140625" style="6" customWidth="1"/>
    <col min="2" max="2" width="11.42578125" style="6" customWidth="1"/>
    <col min="3" max="3" width="10.28515625" style="6" customWidth="1"/>
    <col min="4" max="4" width="11.5703125" style="6" customWidth="1"/>
    <col min="5" max="5" width="9.140625" style="6" customWidth="1"/>
    <col min="6" max="6" width="9.42578125" style="6" bestFit="1" customWidth="1"/>
    <col min="7" max="7" width="10.28515625" style="6" customWidth="1"/>
    <col min="8" max="8" width="12.28515625" style="6" customWidth="1"/>
    <col min="9" max="9" width="9.7109375" style="6" bestFit="1" customWidth="1"/>
    <col min="10" max="10" width="10.85546875" style="6" customWidth="1"/>
    <col min="11" max="11" width="10.7109375" style="6" customWidth="1"/>
    <col min="12" max="12" width="12" style="6" customWidth="1"/>
    <col min="13" max="14" width="10.7109375" style="6" customWidth="1"/>
    <col min="15" max="15" width="6.28515625" style="6" customWidth="1"/>
    <col min="16" max="16" width="10.28515625" style="6" bestFit="1" customWidth="1"/>
    <col min="17" max="17" width="11.85546875" style="9" bestFit="1" customWidth="1"/>
    <col min="18" max="20" width="9.28515625" style="9" bestFit="1" customWidth="1"/>
    <col min="21" max="21" width="10.85546875" style="9" bestFit="1" customWidth="1"/>
    <col min="22" max="22" width="9.140625" style="9"/>
    <col min="23" max="23" width="10.28515625" style="9" bestFit="1" customWidth="1"/>
    <col min="24" max="24" width="11.85546875" style="9" bestFit="1" customWidth="1"/>
    <col min="25" max="27" width="9.28515625" style="9" bestFit="1" customWidth="1"/>
    <col min="28" max="28" width="10.85546875" style="9" bestFit="1" customWidth="1"/>
    <col min="29" max="16384" width="9.140625" style="9"/>
  </cols>
  <sheetData>
    <row r="1" spans="1:28" ht="15.75" x14ac:dyDescent="0.2">
      <c r="B1" s="8"/>
    </row>
    <row r="2" spans="1:28" ht="18.75" x14ac:dyDescent="0.2">
      <c r="A2" s="2" t="s">
        <v>88</v>
      </c>
    </row>
    <row r="3" spans="1:28" x14ac:dyDescent="0.2">
      <c r="A3" s="10" t="s">
        <v>150</v>
      </c>
      <c r="B3" s="10"/>
      <c r="C3" s="10"/>
      <c r="D3" s="10"/>
    </row>
    <row r="4" spans="1:28" ht="13.5" thickBot="1" x14ac:dyDescent="0.25">
      <c r="A4" s="11"/>
    </row>
    <row r="5" spans="1:28" s="14" customFormat="1" ht="64.5" thickBot="1" x14ac:dyDescent="0.25">
      <c r="A5" s="12" t="s">
        <v>27</v>
      </c>
      <c r="B5" s="32" t="s">
        <v>46</v>
      </c>
      <c r="C5" s="7" t="s">
        <v>33</v>
      </c>
      <c r="D5" s="7" t="s">
        <v>36</v>
      </c>
      <c r="E5" s="7" t="s">
        <v>35</v>
      </c>
      <c r="F5" s="7" t="s">
        <v>42</v>
      </c>
      <c r="G5" s="7" t="s">
        <v>41</v>
      </c>
      <c r="H5" s="7" t="s">
        <v>100</v>
      </c>
      <c r="I5" s="7" t="s">
        <v>34</v>
      </c>
      <c r="J5" s="7" t="s">
        <v>32</v>
      </c>
      <c r="K5" s="7" t="s">
        <v>37</v>
      </c>
      <c r="L5" s="7" t="s">
        <v>38</v>
      </c>
      <c r="M5" s="7" t="s">
        <v>39</v>
      </c>
      <c r="N5" s="13" t="s">
        <v>40</v>
      </c>
      <c r="O5" s="12" t="s">
        <v>27</v>
      </c>
      <c r="P5" s="25"/>
    </row>
    <row r="6" spans="1:28" x14ac:dyDescent="0.2">
      <c r="A6" s="26" t="s">
        <v>43</v>
      </c>
      <c r="B6" s="15">
        <v>38097.919999999998</v>
      </c>
      <c r="C6" s="34">
        <f t="shared" ref="C6:C36" si="0">B6-E6</f>
        <v>31279.69</v>
      </c>
      <c r="D6" s="3">
        <v>3099</v>
      </c>
      <c r="E6" s="3">
        <f>6818.23</f>
        <v>6818.23</v>
      </c>
      <c r="F6" s="3">
        <f>VLOOKUP($A6,'CCNL Economico 2022'!$Q$7:$S$37,3,FALSE)</f>
        <v>3821.77</v>
      </c>
      <c r="G6" s="3">
        <f>VLOOKUP($A6,'CCNL Economico 2022'!$A$7:$E$38,5,FALSE)</f>
        <v>0</v>
      </c>
      <c r="H6" s="3">
        <f>VLOOKUP(A6,'Emonum Acc 2023'!$B$8:$C$43,2,FALSE)*12</f>
        <v>568.68000000000006</v>
      </c>
      <c r="I6" s="3">
        <f>ROUND((B6)/12,2)</f>
        <v>3174.83</v>
      </c>
      <c r="J6" s="3">
        <f>B6+D6+G6+H6+I6+F6</f>
        <v>48762.2</v>
      </c>
      <c r="K6" s="3">
        <f>ROUND((C6)*34.24%+D6*24.2%,2)+ROUND((F6*29.88%+I6*29.88%+E6*29.88%),2)+ROUND((G6+H6)*24.2%,2)</f>
        <v>15725.610000000002</v>
      </c>
      <c r="L6" s="3">
        <f>ROUND(J6*8.5%,0)</f>
        <v>4145</v>
      </c>
      <c r="M6" s="3">
        <f>J6+K6+L6</f>
        <v>68632.81</v>
      </c>
      <c r="N6" s="22">
        <f>K6+L6</f>
        <v>19870.61</v>
      </c>
      <c r="O6" s="15" t="str">
        <f>A6</f>
        <v>EP8</v>
      </c>
      <c r="P6" s="66"/>
      <c r="Q6" s="67"/>
      <c r="R6" s="68"/>
      <c r="S6" s="68"/>
      <c r="T6" s="67"/>
      <c r="U6" s="67"/>
      <c r="W6" s="69"/>
      <c r="X6" s="69"/>
      <c r="Y6" s="69"/>
      <c r="Z6" s="69"/>
      <c r="AA6" s="69"/>
      <c r="AB6" s="69"/>
    </row>
    <row r="7" spans="1:28" x14ac:dyDescent="0.2">
      <c r="A7" s="27" t="s">
        <v>0</v>
      </c>
      <c r="B7" s="16">
        <v>36992.400000000001</v>
      </c>
      <c r="C7" s="33">
        <f>B7-E7</f>
        <v>30174.170000000002</v>
      </c>
      <c r="D7" s="4">
        <v>3099</v>
      </c>
      <c r="E7" s="4">
        <f>6818.23</f>
        <v>6818.23</v>
      </c>
      <c r="F7" s="4">
        <f>VLOOKUP($A7,'CCNL Economico 2022'!$Q$7:$S$37,3,FALSE)</f>
        <v>3821.77</v>
      </c>
      <c r="G7" s="4">
        <f>VLOOKUP($A7,'CCNL Economico 2022'!$A$7:$E$38,5,FALSE)</f>
        <v>0</v>
      </c>
      <c r="H7" s="4">
        <f>VLOOKUP(A7,'Emonum Acc 2023'!$B$8:$C$43,2,FALSE)*12</f>
        <v>552.12</v>
      </c>
      <c r="I7" s="4">
        <f>ROUND((B7)/12,2)</f>
        <v>3082.7</v>
      </c>
      <c r="J7" s="4">
        <f t="shared" ref="J7:J36" si="1">B7+D7+G7+H7+I7+F7</f>
        <v>47547.99</v>
      </c>
      <c r="K7" s="4">
        <f t="shared" ref="K7:K13" si="2">ROUND((C7)*34.24%+D7*24.2%,2)+ROUND((F7*29.88%+I7*29.88%+E7*29.88%),2)+ROUND((G7+H7)*24.2%,2)</f>
        <v>15315.54</v>
      </c>
      <c r="L7" s="4">
        <f>ROUND(J7*8.5%,0)</f>
        <v>4042</v>
      </c>
      <c r="M7" s="4">
        <f>J7+K7+L7</f>
        <v>66905.53</v>
      </c>
      <c r="N7" s="23">
        <f>K7+L7</f>
        <v>19357.54</v>
      </c>
      <c r="O7" s="16" t="str">
        <f>A7</f>
        <v>EP7</v>
      </c>
      <c r="P7" s="66"/>
      <c r="Q7" s="67"/>
      <c r="R7" s="68"/>
      <c r="S7" s="68"/>
      <c r="T7" s="67"/>
      <c r="U7" s="67"/>
      <c r="W7" s="69"/>
      <c r="X7" s="69"/>
      <c r="Y7" s="69"/>
      <c r="Z7" s="69"/>
      <c r="AA7" s="69"/>
      <c r="AB7" s="69"/>
    </row>
    <row r="8" spans="1:28" x14ac:dyDescent="0.2">
      <c r="A8" s="28" t="s">
        <v>1</v>
      </c>
      <c r="B8" s="16">
        <v>35575.949999999997</v>
      </c>
      <c r="C8" s="33">
        <f t="shared" si="0"/>
        <v>28757.719999999998</v>
      </c>
      <c r="D8" s="4">
        <v>3099</v>
      </c>
      <c r="E8" s="4">
        <f>6818.23</f>
        <v>6818.23</v>
      </c>
      <c r="F8" s="4">
        <f>VLOOKUP($A8,'CCNL Economico 2022'!$Q$7:$S$37,3,FALSE)</f>
        <v>3821.77</v>
      </c>
      <c r="G8" s="4">
        <f>VLOOKUP($A8,'CCNL Economico 2022'!$A$7:$E$38,5,FALSE)</f>
        <v>0</v>
      </c>
      <c r="H8" s="4">
        <f>VLOOKUP(A8,'Emonum Acc 2023'!$B$8:$C$43,2,FALSE)*12</f>
        <v>531</v>
      </c>
      <c r="I8" s="4">
        <f t="shared" ref="I8:I36" si="3">ROUND((B8)/12,2)</f>
        <v>2964.66</v>
      </c>
      <c r="J8" s="4">
        <f t="shared" si="1"/>
        <v>45992.38</v>
      </c>
      <c r="K8" s="4">
        <f t="shared" si="2"/>
        <v>14790.17</v>
      </c>
      <c r="L8" s="4">
        <f>ROUND(J8*8.5%,0)</f>
        <v>3909</v>
      </c>
      <c r="M8" s="4">
        <f>J8+K8+L8</f>
        <v>64691.549999999996</v>
      </c>
      <c r="N8" s="23">
        <f>K8+L8</f>
        <v>18699.169999999998</v>
      </c>
      <c r="O8" s="16" t="str">
        <f>A8</f>
        <v>EP6</v>
      </c>
      <c r="P8" s="66"/>
      <c r="Q8" s="67"/>
      <c r="R8" s="68"/>
      <c r="S8" s="68"/>
      <c r="T8" s="67"/>
      <c r="U8" s="67"/>
      <c r="W8" s="69"/>
      <c r="X8" s="69"/>
      <c r="Y8" s="69"/>
      <c r="Z8" s="69"/>
      <c r="AA8" s="69"/>
      <c r="AB8" s="69"/>
    </row>
    <row r="9" spans="1:28" x14ac:dyDescent="0.2">
      <c r="A9" s="28" t="s">
        <v>2</v>
      </c>
      <c r="B9" s="16">
        <v>34219.33</v>
      </c>
      <c r="C9" s="33">
        <f t="shared" si="0"/>
        <v>27401.100000000002</v>
      </c>
      <c r="D9" s="4">
        <v>3099</v>
      </c>
      <c r="E9" s="4">
        <f>6818.23</f>
        <v>6818.23</v>
      </c>
      <c r="F9" s="4">
        <f>VLOOKUP($A9,'CCNL Economico 2022'!$Q$7:$S$37,3,FALSE)</f>
        <v>3821.77</v>
      </c>
      <c r="G9" s="4">
        <f>VLOOKUP($A9,'CCNL Economico 2022'!$A$7:$E$38,5,FALSE)</f>
        <v>0</v>
      </c>
      <c r="H9" s="4">
        <f>VLOOKUP(A9,'Emonum Acc 2023'!$B$8:$C$43,2,FALSE)*12</f>
        <v>510.72</v>
      </c>
      <c r="I9" s="4">
        <f t="shared" si="3"/>
        <v>2851.61</v>
      </c>
      <c r="J9" s="4">
        <f t="shared" si="1"/>
        <v>44502.43</v>
      </c>
      <c r="K9" s="4">
        <f t="shared" si="2"/>
        <v>14286.970000000001</v>
      </c>
      <c r="L9" s="4">
        <f t="shared" ref="L9:L36" si="4">ROUND(J9*8.5%,0)</f>
        <v>3783</v>
      </c>
      <c r="M9" s="4">
        <f t="shared" ref="M9:M36" si="5">J9+K9+L9</f>
        <v>62572.4</v>
      </c>
      <c r="N9" s="23">
        <f t="shared" ref="N9:N36" si="6">K9+L9</f>
        <v>18069.97</v>
      </c>
      <c r="O9" s="16" t="s">
        <v>2</v>
      </c>
      <c r="P9" s="66"/>
      <c r="Q9" s="67"/>
      <c r="R9" s="68"/>
      <c r="S9" s="68"/>
      <c r="T9" s="67"/>
      <c r="U9" s="67"/>
      <c r="W9" s="69"/>
      <c r="X9" s="69"/>
      <c r="Y9" s="69"/>
      <c r="Z9" s="69"/>
      <c r="AA9" s="69"/>
      <c r="AB9" s="69"/>
    </row>
    <row r="10" spans="1:28" x14ac:dyDescent="0.2">
      <c r="A10" s="27" t="s">
        <v>3</v>
      </c>
      <c r="B10" s="16">
        <v>32755.629999999997</v>
      </c>
      <c r="C10" s="33">
        <f t="shared" si="0"/>
        <v>25937.399999999998</v>
      </c>
      <c r="D10" s="4">
        <v>3099</v>
      </c>
      <c r="E10" s="4">
        <f>6818.23</f>
        <v>6818.23</v>
      </c>
      <c r="F10" s="4">
        <f>VLOOKUP($A10,'CCNL Economico 2022'!$Q$7:$S$37,3,FALSE)</f>
        <v>3821.77</v>
      </c>
      <c r="G10" s="4">
        <f>VLOOKUP($A10,'CCNL Economico 2022'!$A$7:$E$38,5,FALSE)</f>
        <v>0</v>
      </c>
      <c r="H10" s="4">
        <f>VLOOKUP(A10,'Emonum Acc 2023'!$B$8:$C$43,2,FALSE)*12</f>
        <v>488.88</v>
      </c>
      <c r="I10" s="4">
        <f t="shared" si="3"/>
        <v>2729.64</v>
      </c>
      <c r="J10" s="4">
        <f t="shared" si="1"/>
        <v>42894.919999999991</v>
      </c>
      <c r="K10" s="4">
        <f t="shared" si="2"/>
        <v>13744.08</v>
      </c>
      <c r="L10" s="4">
        <f t="shared" si="4"/>
        <v>3646</v>
      </c>
      <c r="M10" s="4">
        <f t="shared" si="5"/>
        <v>60284.999999999993</v>
      </c>
      <c r="N10" s="23">
        <f t="shared" si="6"/>
        <v>17390.080000000002</v>
      </c>
      <c r="O10" s="16" t="s">
        <v>3</v>
      </c>
      <c r="P10" s="66"/>
      <c r="Q10" s="67"/>
      <c r="R10" s="68"/>
      <c r="S10" s="68"/>
      <c r="T10" s="67"/>
      <c r="U10" s="67"/>
      <c r="W10" s="69"/>
      <c r="X10" s="69"/>
      <c r="Y10" s="69"/>
      <c r="Z10" s="69"/>
      <c r="AA10" s="69"/>
      <c r="AB10" s="69"/>
    </row>
    <row r="11" spans="1:28" x14ac:dyDescent="0.2">
      <c r="A11" s="28" t="s">
        <v>4</v>
      </c>
      <c r="B11" s="16">
        <v>30359.86</v>
      </c>
      <c r="C11" s="33">
        <f t="shared" si="0"/>
        <v>23677.599999999999</v>
      </c>
      <c r="D11" s="4">
        <v>3099</v>
      </c>
      <c r="E11" s="4">
        <f>6682.26</f>
        <v>6682.26</v>
      </c>
      <c r="F11" s="4">
        <f>VLOOKUP($A11,'CCNL Economico 2022'!$Q$7:$S$37,3,FALSE)</f>
        <v>2909.4</v>
      </c>
      <c r="G11" s="4">
        <f>VLOOKUP($A11,'CCNL Economico 2022'!$A$7:$E$38,5,FALSE)</f>
        <v>0</v>
      </c>
      <c r="H11" s="4">
        <f>VLOOKUP(A11,'Emonum Acc 2023'!$B$8:$C$43,2,FALSE)*12</f>
        <v>453.12</v>
      </c>
      <c r="I11" s="4">
        <f t="shared" si="3"/>
        <v>2529.9899999999998</v>
      </c>
      <c r="J11" s="4">
        <f t="shared" si="1"/>
        <v>39351.370000000003</v>
      </c>
      <c r="K11" s="4">
        <f t="shared" si="2"/>
        <v>12588.779999999999</v>
      </c>
      <c r="L11" s="4">
        <f t="shared" si="4"/>
        <v>3345</v>
      </c>
      <c r="M11" s="4">
        <f t="shared" si="5"/>
        <v>55285.15</v>
      </c>
      <c r="N11" s="23">
        <f t="shared" si="6"/>
        <v>15933.779999999999</v>
      </c>
      <c r="O11" s="16" t="s">
        <v>4</v>
      </c>
      <c r="P11" s="66"/>
      <c r="Q11" s="67"/>
      <c r="R11" s="68"/>
      <c r="S11" s="68"/>
      <c r="T11" s="67"/>
      <c r="U11" s="67"/>
      <c r="W11" s="69"/>
      <c r="X11" s="69"/>
      <c r="Y11" s="69"/>
      <c r="Z11" s="69"/>
      <c r="AA11" s="69"/>
      <c r="AB11" s="69"/>
    </row>
    <row r="12" spans="1:28" x14ac:dyDescent="0.2">
      <c r="A12" s="28" t="s">
        <v>5</v>
      </c>
      <c r="B12" s="16">
        <v>28736.359999999997</v>
      </c>
      <c r="C12" s="33">
        <f t="shared" si="0"/>
        <v>22054.1</v>
      </c>
      <c r="D12" s="4">
        <v>3099</v>
      </c>
      <c r="E12" s="4">
        <f>6682.26</f>
        <v>6682.26</v>
      </c>
      <c r="F12" s="4">
        <f>VLOOKUP($A12,'CCNL Economico 2022'!$Q$7:$S$37,3,FALSE)</f>
        <v>2909.4</v>
      </c>
      <c r="G12" s="4">
        <f>VLOOKUP($A12,'CCNL Economico 2022'!$A$7:$E$38,5,FALSE)</f>
        <v>0</v>
      </c>
      <c r="H12" s="4">
        <f>VLOOKUP(A12,'Emonum Acc 2023'!$B$8:$C$43,2,FALSE)*12</f>
        <v>428.88</v>
      </c>
      <c r="I12" s="4">
        <f t="shared" si="3"/>
        <v>2394.6999999999998</v>
      </c>
      <c r="J12" s="4">
        <f t="shared" si="1"/>
        <v>37568.339999999997</v>
      </c>
      <c r="K12" s="4">
        <f t="shared" si="2"/>
        <v>11986.590000000002</v>
      </c>
      <c r="L12" s="4">
        <f t="shared" si="4"/>
        <v>3193</v>
      </c>
      <c r="M12" s="4">
        <f t="shared" si="5"/>
        <v>52747.93</v>
      </c>
      <c r="N12" s="23">
        <f t="shared" si="6"/>
        <v>15179.590000000002</v>
      </c>
      <c r="O12" s="16" t="s">
        <v>5</v>
      </c>
      <c r="P12" s="66"/>
      <c r="Q12" s="67"/>
      <c r="R12" s="68"/>
      <c r="S12" s="68"/>
      <c r="T12" s="67"/>
      <c r="U12" s="67"/>
      <c r="W12" s="69"/>
      <c r="X12" s="69"/>
      <c r="Y12" s="69"/>
      <c r="Z12" s="69"/>
      <c r="AA12" s="69"/>
      <c r="AB12" s="69"/>
    </row>
    <row r="13" spans="1:28" ht="13.5" thickBot="1" x14ac:dyDescent="0.25">
      <c r="A13" s="29" t="s">
        <v>6</v>
      </c>
      <c r="B13" s="36">
        <v>27024.45</v>
      </c>
      <c r="C13" s="35">
        <f t="shared" si="0"/>
        <v>20342.190000000002</v>
      </c>
      <c r="D13" s="5">
        <v>3099</v>
      </c>
      <c r="E13" s="5">
        <f>6682.26</f>
        <v>6682.26</v>
      </c>
      <c r="F13" s="5">
        <f>VLOOKUP($A13,'CCNL Economico 2022'!$Q$7:$S$37,3,FALSE)</f>
        <v>2909.4</v>
      </c>
      <c r="G13" s="5">
        <f>VLOOKUP($A13,'CCNL Economico 2022'!$A$7:$E$38,5,FALSE)</f>
        <v>0</v>
      </c>
      <c r="H13" s="5">
        <f>VLOOKUP(A13,'Emonum Acc 2023'!$B$8:$C$43,2,FALSE)*12</f>
        <v>403.32</v>
      </c>
      <c r="I13" s="5">
        <f t="shared" si="3"/>
        <v>2252.04</v>
      </c>
      <c r="J13" s="5">
        <f t="shared" si="1"/>
        <v>35688.21</v>
      </c>
      <c r="K13" s="5">
        <f t="shared" si="2"/>
        <v>11351.62</v>
      </c>
      <c r="L13" s="5">
        <f t="shared" si="4"/>
        <v>3033</v>
      </c>
      <c r="M13" s="5">
        <f t="shared" si="5"/>
        <v>50072.83</v>
      </c>
      <c r="N13" s="24">
        <f t="shared" si="6"/>
        <v>14384.62</v>
      </c>
      <c r="O13" s="17" t="s">
        <v>6</v>
      </c>
      <c r="P13" s="66"/>
      <c r="Q13" s="67"/>
      <c r="R13" s="68"/>
      <c r="S13" s="68"/>
      <c r="T13" s="67"/>
      <c r="U13" s="67"/>
      <c r="W13" s="69"/>
      <c r="X13" s="69"/>
      <c r="Y13" s="69"/>
      <c r="Z13" s="69"/>
      <c r="AA13" s="69"/>
      <c r="AB13" s="69"/>
    </row>
    <row r="14" spans="1:28" x14ac:dyDescent="0.2">
      <c r="A14" s="26" t="s">
        <v>44</v>
      </c>
      <c r="B14" s="15">
        <v>31217.34</v>
      </c>
      <c r="C14" s="34">
        <f t="shared" si="0"/>
        <v>24672.1</v>
      </c>
      <c r="D14" s="3"/>
      <c r="E14" s="3">
        <f>6545.24</f>
        <v>6545.24</v>
      </c>
      <c r="F14" s="3">
        <f>VLOOKUP($A14,'CCNL Economico 2022'!$Q$7:$S$37,3,FALSE)</f>
        <v>2422.16</v>
      </c>
      <c r="G14" s="3">
        <f>VLOOKUP($A14,'CCNL Economico 2022'!$A$7:$E$38,5,FALSE)</f>
        <v>0</v>
      </c>
      <c r="H14" s="3">
        <f>VLOOKUP(A14,'Emonum Acc 2023'!$B$8:$C$43,2,FALSE)*12</f>
        <v>465.96</v>
      </c>
      <c r="I14" s="3">
        <f t="shared" si="3"/>
        <v>2601.4499999999998</v>
      </c>
      <c r="J14" s="3">
        <f t="shared" si="1"/>
        <v>36706.910000000003</v>
      </c>
      <c r="K14" s="3">
        <f>ROUND((J14-(G14+H14))*29.88%+(G14+H14)*24.2%,2)</f>
        <v>10941.56</v>
      </c>
      <c r="L14" s="3">
        <f>ROUND(J14*8.5%,0)</f>
        <v>3120</v>
      </c>
      <c r="M14" s="3">
        <f>J14+K14+L14</f>
        <v>50768.47</v>
      </c>
      <c r="N14" s="22">
        <f>K14+L14</f>
        <v>14061.56</v>
      </c>
      <c r="O14" s="19" t="str">
        <f>A14</f>
        <v>D8</v>
      </c>
      <c r="P14" s="66"/>
      <c r="Q14" s="67"/>
      <c r="R14" s="68"/>
      <c r="S14" s="68"/>
      <c r="T14" s="67"/>
      <c r="U14" s="67"/>
      <c r="W14" s="69"/>
      <c r="X14" s="69"/>
      <c r="Y14" s="69"/>
      <c r="Z14" s="69"/>
      <c r="AA14" s="69"/>
      <c r="AB14" s="69"/>
    </row>
    <row r="15" spans="1:28" x14ac:dyDescent="0.2">
      <c r="A15" s="27" t="s">
        <v>7</v>
      </c>
      <c r="B15" s="16">
        <v>30312.9</v>
      </c>
      <c r="C15" s="33">
        <f>B15-E15</f>
        <v>23767.660000000003</v>
      </c>
      <c r="D15" s="4"/>
      <c r="E15" s="4">
        <f t="shared" ref="E15:E21" si="7">6545.24</f>
        <v>6545.24</v>
      </c>
      <c r="F15" s="4">
        <f>VLOOKUP($A15,'CCNL Economico 2022'!$Q$7:$S$37,3,FALSE)</f>
        <v>2422.16</v>
      </c>
      <c r="G15" s="4">
        <f>VLOOKUP($A15,'CCNL Economico 2022'!$A$7:$E$38,5,FALSE)</f>
        <v>0</v>
      </c>
      <c r="H15" s="4">
        <f>VLOOKUP(A15,'Emonum Acc 2023'!$B$8:$C$43,2,FALSE)*12</f>
        <v>452.40000000000003</v>
      </c>
      <c r="I15" s="4">
        <f>ROUND((B15)/12,2)</f>
        <v>2526.08</v>
      </c>
      <c r="J15" s="4">
        <f t="shared" si="1"/>
        <v>35713.540000000008</v>
      </c>
      <c r="K15" s="4">
        <f t="shared" ref="K15:K36" si="8">ROUND((J15-(G15+H15))*29.88%+(G15+H15)*24.2%,2)</f>
        <v>10645.51</v>
      </c>
      <c r="L15" s="4">
        <f>ROUND(J15*8.5%,0)</f>
        <v>3036</v>
      </c>
      <c r="M15" s="4">
        <f>J15+K15+L15</f>
        <v>49395.05000000001</v>
      </c>
      <c r="N15" s="23">
        <f>K15+L15</f>
        <v>13681.51</v>
      </c>
      <c r="O15" s="20" t="str">
        <f>A15</f>
        <v>D7</v>
      </c>
      <c r="P15" s="66"/>
      <c r="Q15" s="67"/>
      <c r="R15" s="68"/>
      <c r="S15" s="68"/>
      <c r="T15" s="67"/>
      <c r="U15" s="67"/>
      <c r="W15" s="69"/>
      <c r="X15" s="69"/>
      <c r="Y15" s="69"/>
      <c r="Z15" s="69"/>
      <c r="AA15" s="69"/>
      <c r="AB15" s="69"/>
    </row>
    <row r="16" spans="1:28" x14ac:dyDescent="0.2">
      <c r="A16" s="28" t="s">
        <v>8</v>
      </c>
      <c r="B16" s="16">
        <v>29251.24</v>
      </c>
      <c r="C16" s="33">
        <f t="shared" si="0"/>
        <v>22706</v>
      </c>
      <c r="D16" s="4"/>
      <c r="E16" s="4">
        <f t="shared" si="7"/>
        <v>6545.24</v>
      </c>
      <c r="F16" s="4">
        <f>VLOOKUP($A16,'CCNL Economico 2022'!$Q$7:$S$37,3,FALSE)</f>
        <v>2422.16</v>
      </c>
      <c r="G16" s="4">
        <f>VLOOKUP($A16,'CCNL Economico 2022'!$A$7:$E$38,5,FALSE)</f>
        <v>0</v>
      </c>
      <c r="H16" s="4">
        <f>VLOOKUP(A16,'Emonum Acc 2023'!$B$8:$C$43,2,FALSE)*12</f>
        <v>436.56000000000006</v>
      </c>
      <c r="I16" s="4">
        <f t="shared" si="3"/>
        <v>2437.6</v>
      </c>
      <c r="J16" s="4">
        <f t="shared" si="1"/>
        <v>34547.56</v>
      </c>
      <c r="K16" s="4">
        <f t="shared" si="8"/>
        <v>10298.01</v>
      </c>
      <c r="L16" s="4">
        <f>ROUND(J16*8.5%,0)</f>
        <v>2937</v>
      </c>
      <c r="M16" s="4">
        <f>J16+K16+L16</f>
        <v>47782.57</v>
      </c>
      <c r="N16" s="23">
        <f>K16+L16</f>
        <v>13235.01</v>
      </c>
      <c r="O16" s="20" t="str">
        <f>A16</f>
        <v>D6</v>
      </c>
      <c r="P16" s="66"/>
      <c r="Q16" s="67"/>
      <c r="R16" s="68"/>
      <c r="S16" s="68"/>
      <c r="T16" s="67"/>
      <c r="U16" s="67"/>
      <c r="W16" s="69"/>
      <c r="X16" s="69"/>
      <c r="Y16" s="69"/>
      <c r="Z16" s="69"/>
      <c r="AA16" s="69"/>
      <c r="AB16" s="69"/>
    </row>
    <row r="17" spans="1:28" x14ac:dyDescent="0.2">
      <c r="A17" s="28" t="s">
        <v>9</v>
      </c>
      <c r="B17" s="16">
        <v>28232.100000000002</v>
      </c>
      <c r="C17" s="33">
        <f t="shared" si="0"/>
        <v>21686.86</v>
      </c>
      <c r="D17" s="4"/>
      <c r="E17" s="4">
        <f t="shared" si="7"/>
        <v>6545.24</v>
      </c>
      <c r="F17" s="4">
        <f>VLOOKUP($A17,'CCNL Economico 2022'!$Q$7:$S$37,3,FALSE)</f>
        <v>2422.16</v>
      </c>
      <c r="G17" s="4">
        <f>VLOOKUP($A17,'CCNL Economico 2022'!$A$7:$E$38,5,FALSE)</f>
        <v>0</v>
      </c>
      <c r="H17" s="4">
        <f>VLOOKUP(A17,'Emonum Acc 2023'!$B$8:$C$43,2,FALSE)*12</f>
        <v>421.32</v>
      </c>
      <c r="I17" s="4">
        <f t="shared" si="3"/>
        <v>2352.6799999999998</v>
      </c>
      <c r="J17" s="4">
        <f t="shared" si="1"/>
        <v>33428.26</v>
      </c>
      <c r="K17" s="4">
        <f t="shared" si="8"/>
        <v>9964.43</v>
      </c>
      <c r="L17" s="4">
        <f t="shared" si="4"/>
        <v>2841</v>
      </c>
      <c r="M17" s="4">
        <f t="shared" si="5"/>
        <v>46233.69</v>
      </c>
      <c r="N17" s="23">
        <f t="shared" si="6"/>
        <v>12805.43</v>
      </c>
      <c r="O17" s="20" t="s">
        <v>9</v>
      </c>
      <c r="P17" s="66"/>
      <c r="Q17" s="67"/>
      <c r="R17" s="68"/>
      <c r="S17" s="68"/>
      <c r="T17" s="67"/>
      <c r="U17" s="67"/>
      <c r="W17" s="69"/>
      <c r="X17" s="69"/>
      <c r="Y17" s="69"/>
      <c r="Z17" s="69"/>
      <c r="AA17" s="69"/>
      <c r="AB17" s="69"/>
    </row>
    <row r="18" spans="1:28" x14ac:dyDescent="0.2">
      <c r="A18" s="28" t="s">
        <v>10</v>
      </c>
      <c r="B18" s="16">
        <v>27259.079999999998</v>
      </c>
      <c r="C18" s="33">
        <f t="shared" si="0"/>
        <v>20713.839999999997</v>
      </c>
      <c r="D18" s="4"/>
      <c r="E18" s="4">
        <f t="shared" si="7"/>
        <v>6545.24</v>
      </c>
      <c r="F18" s="4">
        <f>VLOOKUP($A18,'CCNL Economico 2022'!$Q$7:$S$37,3,FALSE)</f>
        <v>2422.16</v>
      </c>
      <c r="G18" s="4">
        <f>VLOOKUP($A18,'CCNL Economico 2022'!$A$7:$E$38,5,FALSE)</f>
        <v>0</v>
      </c>
      <c r="H18" s="4">
        <f>VLOOKUP(A18,'Emonum Acc 2023'!$B$8:$C$43,2,FALSE)*12</f>
        <v>406.79999999999995</v>
      </c>
      <c r="I18" s="4">
        <f t="shared" si="3"/>
        <v>2271.59</v>
      </c>
      <c r="J18" s="4">
        <f t="shared" si="1"/>
        <v>32359.629999999997</v>
      </c>
      <c r="K18" s="4">
        <f t="shared" si="8"/>
        <v>9645.9500000000007</v>
      </c>
      <c r="L18" s="4">
        <f t="shared" si="4"/>
        <v>2751</v>
      </c>
      <c r="M18" s="4">
        <f t="shared" si="5"/>
        <v>44756.58</v>
      </c>
      <c r="N18" s="23">
        <f t="shared" si="6"/>
        <v>12396.95</v>
      </c>
      <c r="O18" s="20" t="s">
        <v>10</v>
      </c>
      <c r="P18" s="66"/>
      <c r="Q18" s="67"/>
      <c r="R18" s="68"/>
      <c r="S18" s="68"/>
      <c r="T18" s="67"/>
      <c r="U18" s="67"/>
      <c r="W18" s="69"/>
      <c r="X18" s="69"/>
      <c r="Y18" s="69"/>
      <c r="Z18" s="69"/>
      <c r="AA18" s="69"/>
      <c r="AB18" s="69"/>
    </row>
    <row r="19" spans="1:28" s="6" customFormat="1" x14ac:dyDescent="0.2">
      <c r="A19" s="28" t="s">
        <v>11</v>
      </c>
      <c r="B19" s="16">
        <v>25940.93</v>
      </c>
      <c r="C19" s="33">
        <f t="shared" si="0"/>
        <v>19395.690000000002</v>
      </c>
      <c r="D19" s="4"/>
      <c r="E19" s="4">
        <f t="shared" si="7"/>
        <v>6545.24</v>
      </c>
      <c r="F19" s="4">
        <f>VLOOKUP($A19,'CCNL Economico 2022'!$Q$7:$S$37,3,FALSE)</f>
        <v>2422.16</v>
      </c>
      <c r="G19" s="4">
        <f>VLOOKUP($A19,'CCNL Economico 2022'!$A$7:$E$38,5,FALSE)</f>
        <v>0</v>
      </c>
      <c r="H19" s="4">
        <f>VLOOKUP(A19,'Emonum Acc 2023'!$B$8:$C$43,2,FALSE)*12</f>
        <v>387.12</v>
      </c>
      <c r="I19" s="4">
        <f t="shared" si="3"/>
        <v>2161.7399999999998</v>
      </c>
      <c r="J19" s="4">
        <f t="shared" si="1"/>
        <v>30911.95</v>
      </c>
      <c r="K19" s="4">
        <f t="shared" si="8"/>
        <v>9214.5</v>
      </c>
      <c r="L19" s="4">
        <f t="shared" si="4"/>
        <v>2628</v>
      </c>
      <c r="M19" s="4">
        <f t="shared" si="5"/>
        <v>42754.45</v>
      </c>
      <c r="N19" s="23">
        <f t="shared" si="6"/>
        <v>11842.5</v>
      </c>
      <c r="O19" s="20" t="s">
        <v>11</v>
      </c>
      <c r="P19" s="66"/>
      <c r="Q19" s="67"/>
      <c r="R19" s="68"/>
      <c r="S19" s="68"/>
      <c r="T19" s="67"/>
      <c r="U19" s="67"/>
      <c r="W19" s="69"/>
      <c r="X19" s="69"/>
      <c r="Y19" s="69"/>
      <c r="Z19" s="69"/>
      <c r="AA19" s="69"/>
      <c r="AB19" s="69"/>
    </row>
    <row r="20" spans="1:28" s="6" customFormat="1" x14ac:dyDescent="0.2">
      <c r="A20" s="28" t="s">
        <v>12</v>
      </c>
      <c r="B20" s="16">
        <v>24860.68</v>
      </c>
      <c r="C20" s="33">
        <f t="shared" si="0"/>
        <v>18315.440000000002</v>
      </c>
      <c r="D20" s="4"/>
      <c r="E20" s="4">
        <f t="shared" si="7"/>
        <v>6545.24</v>
      </c>
      <c r="F20" s="4">
        <f>VLOOKUP($A20,'CCNL Economico 2022'!$Q$7:$S$37,3,FALSE)</f>
        <v>2422.16</v>
      </c>
      <c r="G20" s="4">
        <f>VLOOKUP($A20,'CCNL Economico 2022'!$A$7:$E$38,5,FALSE)</f>
        <v>84</v>
      </c>
      <c r="H20" s="4">
        <f>VLOOKUP(A20,'Emonum Acc 2023'!$B$8:$C$43,2,FALSE)*12</f>
        <v>371.04</v>
      </c>
      <c r="I20" s="4">
        <f t="shared" si="3"/>
        <v>2071.7199999999998</v>
      </c>
      <c r="J20" s="4">
        <f t="shared" si="1"/>
        <v>29809.600000000002</v>
      </c>
      <c r="K20" s="4">
        <f t="shared" si="8"/>
        <v>8881.26</v>
      </c>
      <c r="L20" s="4">
        <f t="shared" si="4"/>
        <v>2534</v>
      </c>
      <c r="M20" s="4">
        <f t="shared" si="5"/>
        <v>41224.86</v>
      </c>
      <c r="N20" s="23">
        <f t="shared" si="6"/>
        <v>11415.26</v>
      </c>
      <c r="O20" s="20" t="s">
        <v>12</v>
      </c>
      <c r="P20" s="66"/>
      <c r="Q20" s="67"/>
      <c r="R20" s="68"/>
      <c r="S20" s="68"/>
      <c r="T20" s="67"/>
      <c r="U20" s="67"/>
      <c r="W20" s="69"/>
      <c r="X20" s="69"/>
      <c r="Y20" s="69"/>
      <c r="Z20" s="69"/>
      <c r="AA20" s="69"/>
      <c r="AB20" s="69"/>
    </row>
    <row r="21" spans="1:28" s="6" customFormat="1" ht="13.5" thickBot="1" x14ac:dyDescent="0.25">
      <c r="A21" s="29" t="s">
        <v>13</v>
      </c>
      <c r="B21" s="36">
        <v>23925.870000000003</v>
      </c>
      <c r="C21" s="35">
        <f t="shared" si="0"/>
        <v>17380.630000000005</v>
      </c>
      <c r="D21" s="5"/>
      <c r="E21" s="5">
        <f t="shared" si="7"/>
        <v>6545.24</v>
      </c>
      <c r="F21" s="5">
        <f>VLOOKUP($A21,'CCNL Economico 2022'!$Q$7:$S$37,3,FALSE)</f>
        <v>2422.16</v>
      </c>
      <c r="G21" s="5">
        <f>VLOOKUP($A21,'CCNL Economico 2022'!$A$7:$E$38,5,FALSE)</f>
        <v>108</v>
      </c>
      <c r="H21" s="5">
        <f>VLOOKUP(A21,'Emonum Acc 2023'!$B$8:$C$43,2,FALSE)*12</f>
        <v>357.12</v>
      </c>
      <c r="I21" s="5">
        <f t="shared" si="3"/>
        <v>1993.82</v>
      </c>
      <c r="J21" s="5">
        <f t="shared" si="1"/>
        <v>28806.97</v>
      </c>
      <c r="K21" s="5">
        <f t="shared" si="8"/>
        <v>8581.1</v>
      </c>
      <c r="L21" s="5">
        <f t="shared" si="4"/>
        <v>2449</v>
      </c>
      <c r="M21" s="5">
        <f t="shared" si="5"/>
        <v>39837.07</v>
      </c>
      <c r="N21" s="24">
        <f t="shared" si="6"/>
        <v>11030.1</v>
      </c>
      <c r="O21" s="21" t="s">
        <v>13</v>
      </c>
      <c r="P21" s="66"/>
      <c r="Q21" s="67"/>
      <c r="R21" s="68"/>
      <c r="S21" s="68"/>
      <c r="T21" s="67"/>
      <c r="U21" s="67"/>
      <c r="W21" s="69"/>
      <c r="X21" s="69"/>
      <c r="Y21" s="69"/>
      <c r="Z21" s="69"/>
      <c r="AA21" s="69"/>
      <c r="AB21" s="69"/>
    </row>
    <row r="22" spans="1:28" s="6" customFormat="1" x14ac:dyDescent="0.2">
      <c r="A22" s="26" t="s">
        <v>45</v>
      </c>
      <c r="B22" s="15">
        <v>25903.34</v>
      </c>
      <c r="C22" s="34">
        <f t="shared" si="0"/>
        <v>19453.260000000002</v>
      </c>
      <c r="D22" s="3"/>
      <c r="E22" s="3">
        <f>6450.08</f>
        <v>6450.08</v>
      </c>
      <c r="F22" s="3">
        <f>VLOOKUP($A22,'CCNL Economico 2022'!$Q$7:$S$37,3,FALSE)</f>
        <v>1693.97</v>
      </c>
      <c r="G22" s="3">
        <f>VLOOKUP($A22,'CCNL Economico 2022'!$A$7:$E$38,5,FALSE)</f>
        <v>0</v>
      </c>
      <c r="H22" s="3">
        <f>VLOOKUP(A22,'Emonum Acc 2023'!$B$8:$C$43,2,FALSE)*12</f>
        <v>386.64</v>
      </c>
      <c r="I22" s="3">
        <f t="shared" si="3"/>
        <v>2158.61</v>
      </c>
      <c r="J22" s="3">
        <f t="shared" si="1"/>
        <v>30142.560000000001</v>
      </c>
      <c r="K22" s="3">
        <f t="shared" si="8"/>
        <v>8984.64</v>
      </c>
      <c r="L22" s="3">
        <f>ROUND(J22*8.5%,0)</f>
        <v>2562</v>
      </c>
      <c r="M22" s="3">
        <f>J22+K22+L22</f>
        <v>41689.199999999997</v>
      </c>
      <c r="N22" s="22">
        <f>K22+L22</f>
        <v>11546.64</v>
      </c>
      <c r="O22" s="19" t="str">
        <f>A22</f>
        <v>C8</v>
      </c>
      <c r="P22" s="66"/>
      <c r="Q22" s="67"/>
      <c r="R22" s="68"/>
      <c r="S22" s="68"/>
      <c r="T22" s="67"/>
      <c r="U22" s="67"/>
      <c r="W22" s="69"/>
      <c r="X22" s="69"/>
      <c r="Y22" s="69"/>
      <c r="Z22" s="69"/>
      <c r="AA22" s="69"/>
      <c r="AB22" s="69"/>
    </row>
    <row r="23" spans="1:28" s="6" customFormat="1" x14ac:dyDescent="0.2">
      <c r="A23" s="27" t="s">
        <v>14</v>
      </c>
      <c r="B23" s="16">
        <v>25099.379999999997</v>
      </c>
      <c r="C23" s="33">
        <f>B23-E23</f>
        <v>18649.299999999996</v>
      </c>
      <c r="D23" s="4"/>
      <c r="E23" s="4">
        <f>6450.08</f>
        <v>6450.08</v>
      </c>
      <c r="F23" s="4">
        <f>VLOOKUP($A23,'CCNL Economico 2022'!$Q$7:$S$37,3,FALSE)</f>
        <v>1693.97</v>
      </c>
      <c r="G23" s="4">
        <f>VLOOKUP($A23,'CCNL Economico 2022'!$A$7:$E$38,5,FALSE)</f>
        <v>60</v>
      </c>
      <c r="H23" s="4">
        <f>VLOOKUP(A23,'Emonum Acc 2023'!$B$8:$C$43,2,FALSE)*12</f>
        <v>374.64</v>
      </c>
      <c r="I23" s="4">
        <f>ROUND((B23)/12,2)</f>
        <v>2091.62</v>
      </c>
      <c r="J23" s="4">
        <f t="shared" si="1"/>
        <v>29319.609999999997</v>
      </c>
      <c r="K23" s="4">
        <f t="shared" si="8"/>
        <v>8736.01</v>
      </c>
      <c r="L23" s="4">
        <f>ROUND(J23*8.5%,0)</f>
        <v>2492</v>
      </c>
      <c r="M23" s="4">
        <f>J23+K23+L23</f>
        <v>40547.619999999995</v>
      </c>
      <c r="N23" s="23">
        <f>K23+L23</f>
        <v>11228.01</v>
      </c>
      <c r="O23" s="20" t="str">
        <f>A23</f>
        <v>C7</v>
      </c>
      <c r="P23" s="66"/>
      <c r="Q23" s="67"/>
      <c r="R23" s="68"/>
      <c r="S23" s="68"/>
      <c r="T23" s="67"/>
      <c r="U23" s="67"/>
      <c r="W23" s="69"/>
      <c r="X23" s="69"/>
      <c r="Y23" s="69"/>
      <c r="Z23" s="69"/>
      <c r="AA23" s="69"/>
      <c r="AB23" s="69"/>
    </row>
    <row r="24" spans="1:28" s="6" customFormat="1" x14ac:dyDescent="0.2">
      <c r="A24" s="28" t="s">
        <v>15</v>
      </c>
      <c r="B24" s="16">
        <v>24306.12</v>
      </c>
      <c r="C24" s="33">
        <f t="shared" si="0"/>
        <v>17856.04</v>
      </c>
      <c r="D24" s="4"/>
      <c r="E24" s="4">
        <f>6450.08</f>
        <v>6450.08</v>
      </c>
      <c r="F24" s="4">
        <f>VLOOKUP($A24,'CCNL Economico 2022'!$Q$7:$S$37,3,FALSE)</f>
        <v>1693.97</v>
      </c>
      <c r="G24" s="4">
        <f>VLOOKUP($A24,'CCNL Economico 2022'!$A$7:$E$38,5,FALSE)</f>
        <v>96</v>
      </c>
      <c r="H24" s="4">
        <f>VLOOKUP(A24,'Emonum Acc 2023'!$B$8:$C$43,2,FALSE)*12</f>
        <v>362.76</v>
      </c>
      <c r="I24" s="4">
        <f t="shared" si="3"/>
        <v>2025.51</v>
      </c>
      <c r="J24" s="4">
        <f t="shared" si="1"/>
        <v>28484.359999999997</v>
      </c>
      <c r="K24" s="4">
        <f t="shared" si="8"/>
        <v>8485.07</v>
      </c>
      <c r="L24" s="4">
        <f>ROUND(J24*8.5%,0)</f>
        <v>2421</v>
      </c>
      <c r="M24" s="4">
        <f>J24+K24+L24</f>
        <v>39390.429999999993</v>
      </c>
      <c r="N24" s="23">
        <f>K24+L24</f>
        <v>10906.07</v>
      </c>
      <c r="O24" s="20" t="str">
        <f>A24</f>
        <v>C6</v>
      </c>
      <c r="P24" s="66"/>
      <c r="Q24" s="67"/>
      <c r="R24" s="68"/>
      <c r="S24" s="68"/>
      <c r="T24" s="67"/>
      <c r="U24" s="67"/>
      <c r="W24" s="69"/>
      <c r="X24" s="69"/>
      <c r="Y24" s="69"/>
      <c r="Z24" s="69"/>
      <c r="AA24" s="69"/>
      <c r="AB24" s="69"/>
    </row>
    <row r="25" spans="1:28" s="6" customFormat="1" x14ac:dyDescent="0.2">
      <c r="A25" s="28" t="s">
        <v>16</v>
      </c>
      <c r="B25" s="16">
        <v>23541.239999999998</v>
      </c>
      <c r="C25" s="33">
        <f t="shared" si="0"/>
        <v>17091.159999999996</v>
      </c>
      <c r="D25" s="4"/>
      <c r="E25" s="4">
        <f>6450.08</f>
        <v>6450.08</v>
      </c>
      <c r="F25" s="4">
        <f>VLOOKUP($A25,'CCNL Economico 2022'!$Q$7:$S$37,3,FALSE)</f>
        <v>1693.97</v>
      </c>
      <c r="G25" s="4">
        <f>VLOOKUP($A25,'CCNL Economico 2022'!$A$7:$E$38,5,FALSE)</f>
        <v>120</v>
      </c>
      <c r="H25" s="4">
        <f>VLOOKUP(A25,'Emonum Acc 2023'!$B$8:$C$43,2,FALSE)*12</f>
        <v>351.36</v>
      </c>
      <c r="I25" s="4">
        <f t="shared" si="3"/>
        <v>1961.77</v>
      </c>
      <c r="J25" s="4">
        <f t="shared" si="1"/>
        <v>27668.34</v>
      </c>
      <c r="K25" s="4">
        <f t="shared" si="8"/>
        <v>8240.5300000000007</v>
      </c>
      <c r="L25" s="4">
        <f t="shared" si="4"/>
        <v>2352</v>
      </c>
      <c r="M25" s="4">
        <f>J25+K25+L25</f>
        <v>38260.870000000003</v>
      </c>
      <c r="N25" s="23">
        <f t="shared" si="6"/>
        <v>10592.53</v>
      </c>
      <c r="O25" s="20" t="s">
        <v>16</v>
      </c>
      <c r="P25" s="66"/>
      <c r="Q25" s="67"/>
      <c r="R25" s="68"/>
      <c r="S25" s="68"/>
      <c r="T25" s="67"/>
      <c r="U25" s="67"/>
      <c r="W25" s="69"/>
      <c r="X25" s="69"/>
      <c r="Y25" s="69"/>
      <c r="Z25" s="69"/>
      <c r="AA25" s="69"/>
      <c r="AB25" s="69"/>
    </row>
    <row r="26" spans="1:28" s="6" customFormat="1" x14ac:dyDescent="0.2">
      <c r="A26" s="27" t="s">
        <v>17</v>
      </c>
      <c r="B26" s="16">
        <v>22806.48</v>
      </c>
      <c r="C26" s="33">
        <f t="shared" si="0"/>
        <v>16356.4</v>
      </c>
      <c r="D26" s="4"/>
      <c r="E26" s="4">
        <f>6450.08</f>
        <v>6450.08</v>
      </c>
      <c r="F26" s="4">
        <f>VLOOKUP($A26,'CCNL Economico 2022'!$Q$7:$S$37,3,FALSE)</f>
        <v>1693.97</v>
      </c>
      <c r="G26" s="4">
        <f>VLOOKUP($A26,'CCNL Economico 2022'!$A$7:$E$38,5,FALSE)</f>
        <v>156</v>
      </c>
      <c r="H26" s="4">
        <f>VLOOKUP(A26,'Emonum Acc 2023'!$B$8:$C$43,2,FALSE)*12</f>
        <v>340.44</v>
      </c>
      <c r="I26" s="4">
        <f t="shared" si="3"/>
        <v>1900.54</v>
      </c>
      <c r="J26" s="4">
        <f t="shared" si="1"/>
        <v>26897.43</v>
      </c>
      <c r="K26" s="4">
        <f t="shared" si="8"/>
        <v>8008.75</v>
      </c>
      <c r="L26" s="4">
        <f t="shared" si="4"/>
        <v>2286</v>
      </c>
      <c r="M26" s="4">
        <f t="shared" si="5"/>
        <v>37192.18</v>
      </c>
      <c r="N26" s="23">
        <f t="shared" si="6"/>
        <v>10294.75</v>
      </c>
      <c r="O26" s="20" t="s">
        <v>17</v>
      </c>
      <c r="P26" s="66"/>
      <c r="Q26" s="67"/>
      <c r="R26" s="68"/>
      <c r="S26" s="68"/>
      <c r="T26" s="67"/>
      <c r="U26" s="67"/>
      <c r="W26" s="69"/>
      <c r="X26" s="69"/>
      <c r="Y26" s="69"/>
      <c r="Z26" s="69"/>
      <c r="AA26" s="69"/>
      <c r="AB26" s="69"/>
    </row>
    <row r="27" spans="1:28" s="6" customFormat="1" x14ac:dyDescent="0.2">
      <c r="A27" s="28" t="s">
        <v>18</v>
      </c>
      <c r="B27" s="16">
        <v>21690.960000000003</v>
      </c>
      <c r="C27" s="33">
        <f t="shared" si="0"/>
        <v>15318.320000000003</v>
      </c>
      <c r="D27" s="4"/>
      <c r="E27" s="4">
        <f>6372.64</f>
        <v>6372.64</v>
      </c>
      <c r="F27" s="4">
        <f>VLOOKUP($A27,'CCNL Economico 2022'!$Q$7:$S$37,3,FALSE)</f>
        <v>1693.97</v>
      </c>
      <c r="G27" s="4">
        <f>VLOOKUP($A27,'CCNL Economico 2022'!$A$7:$E$38,5,FALSE)</f>
        <v>192</v>
      </c>
      <c r="H27" s="4">
        <f>VLOOKUP(A27,'Emonum Acc 2023'!$B$8:$C$43,2,FALSE)*12</f>
        <v>323.76</v>
      </c>
      <c r="I27" s="4">
        <f t="shared" si="3"/>
        <v>1807.58</v>
      </c>
      <c r="J27" s="4">
        <f t="shared" si="1"/>
        <v>25708.270000000004</v>
      </c>
      <c r="K27" s="4">
        <f t="shared" si="8"/>
        <v>7652.34</v>
      </c>
      <c r="L27" s="4">
        <f t="shared" si="4"/>
        <v>2185</v>
      </c>
      <c r="M27" s="4">
        <f t="shared" si="5"/>
        <v>35545.61</v>
      </c>
      <c r="N27" s="23">
        <f t="shared" si="6"/>
        <v>9837.34</v>
      </c>
      <c r="O27" s="20" t="s">
        <v>18</v>
      </c>
      <c r="P27" s="66"/>
      <c r="Q27" s="67"/>
      <c r="R27" s="68"/>
      <c r="S27" s="68"/>
      <c r="T27" s="67"/>
      <c r="U27" s="67"/>
      <c r="W27" s="69"/>
      <c r="X27" s="69"/>
      <c r="Y27" s="69"/>
      <c r="Z27" s="69"/>
      <c r="AA27" s="69"/>
      <c r="AB27" s="69"/>
    </row>
    <row r="28" spans="1:28" s="6" customFormat="1" x14ac:dyDescent="0.2">
      <c r="A28" s="28" t="s">
        <v>19</v>
      </c>
      <c r="B28" s="16">
        <v>20854.559999999998</v>
      </c>
      <c r="C28" s="33">
        <f>B28-E28</f>
        <v>14481.919999999998</v>
      </c>
      <c r="D28" s="4"/>
      <c r="E28" s="4">
        <f>6372.64</f>
        <v>6372.64</v>
      </c>
      <c r="F28" s="4">
        <f>VLOOKUP($A28,'CCNL Economico 2022'!$Q$7:$S$37,3,FALSE)</f>
        <v>1693.97</v>
      </c>
      <c r="G28" s="4">
        <f>VLOOKUP($A28,'CCNL Economico 2022'!$A$7:$E$38,5,FALSE)</f>
        <v>228</v>
      </c>
      <c r="H28" s="4">
        <f>VLOOKUP(A28,'Emonum Acc 2023'!$B$8:$C$43,2,FALSE)*12</f>
        <v>311.28000000000003</v>
      </c>
      <c r="I28" s="4">
        <f t="shared" si="3"/>
        <v>1737.88</v>
      </c>
      <c r="J28" s="4">
        <f t="shared" si="1"/>
        <v>24825.69</v>
      </c>
      <c r="K28" s="4">
        <f t="shared" si="8"/>
        <v>7387.29</v>
      </c>
      <c r="L28" s="4">
        <f t="shared" si="4"/>
        <v>2110</v>
      </c>
      <c r="M28" s="4">
        <f t="shared" si="5"/>
        <v>34322.979999999996</v>
      </c>
      <c r="N28" s="23">
        <f t="shared" si="6"/>
        <v>9497.2900000000009</v>
      </c>
      <c r="O28" s="20" t="s">
        <v>19</v>
      </c>
      <c r="P28" s="66"/>
      <c r="Q28" s="67"/>
      <c r="R28" s="68"/>
      <c r="S28" s="68"/>
      <c r="T28" s="67"/>
      <c r="U28" s="67"/>
      <c r="W28" s="69"/>
      <c r="X28" s="69"/>
      <c r="Y28" s="69"/>
      <c r="Z28" s="69"/>
      <c r="AA28" s="69"/>
      <c r="AB28" s="69"/>
    </row>
    <row r="29" spans="1:28" s="6" customFormat="1" ht="13.5" thickBot="1" x14ac:dyDescent="0.25">
      <c r="A29" s="29" t="s">
        <v>20</v>
      </c>
      <c r="B29" s="36">
        <v>20455.96</v>
      </c>
      <c r="C29" s="35">
        <f t="shared" si="0"/>
        <v>14083.32</v>
      </c>
      <c r="D29" s="5"/>
      <c r="E29" s="5">
        <f>6372.64</f>
        <v>6372.64</v>
      </c>
      <c r="F29" s="5">
        <f>VLOOKUP($A29,'CCNL Economico 2022'!$Q$7:$S$37,3,FALSE)</f>
        <v>1693.97</v>
      </c>
      <c r="G29" s="5">
        <f>VLOOKUP($A29,'CCNL Economico 2022'!$A$7:$E$38,5,FALSE)</f>
        <v>240</v>
      </c>
      <c r="H29" s="5">
        <f>VLOOKUP(A29,'Emonum Acc 2023'!$B$8:$C$43,2,FALSE)*12</f>
        <v>305.28000000000003</v>
      </c>
      <c r="I29" s="5">
        <f t="shared" si="3"/>
        <v>1704.66</v>
      </c>
      <c r="J29" s="5">
        <f t="shared" si="1"/>
        <v>24399.87</v>
      </c>
      <c r="K29" s="5">
        <f t="shared" si="8"/>
        <v>7259.71</v>
      </c>
      <c r="L29" s="5">
        <f t="shared" si="4"/>
        <v>2074</v>
      </c>
      <c r="M29" s="5">
        <f t="shared" si="5"/>
        <v>33733.58</v>
      </c>
      <c r="N29" s="24">
        <f t="shared" si="6"/>
        <v>9333.7099999999991</v>
      </c>
      <c r="O29" s="21" t="s">
        <v>20</v>
      </c>
      <c r="P29" s="66"/>
      <c r="Q29" s="67"/>
      <c r="R29" s="68"/>
      <c r="S29" s="68"/>
      <c r="T29" s="67"/>
      <c r="U29" s="67"/>
      <c r="W29" s="69"/>
      <c r="X29" s="69"/>
      <c r="Y29" s="69"/>
      <c r="Z29" s="69"/>
      <c r="AA29" s="69"/>
      <c r="AB29" s="69"/>
    </row>
    <row r="30" spans="1:28" s="6" customFormat="1" x14ac:dyDescent="0.2">
      <c r="A30" s="26" t="s">
        <v>31</v>
      </c>
      <c r="B30" s="15">
        <v>23045.32</v>
      </c>
      <c r="C30" s="34">
        <f t="shared" si="0"/>
        <v>16712.36</v>
      </c>
      <c r="D30" s="3"/>
      <c r="E30" s="3">
        <f>6332.96</f>
        <v>6332.96</v>
      </c>
      <c r="F30" s="3">
        <f>VLOOKUP($A30,'CCNL Economico 2022'!$Q$7:$S$37,3,FALSE)</f>
        <v>1246.1599999999999</v>
      </c>
      <c r="G30" s="3">
        <f>VLOOKUP($A30,'CCNL Economico 2022'!$A$7:$E$38,5,FALSE)</f>
        <v>0</v>
      </c>
      <c r="H30" s="3">
        <f>VLOOKUP(A30,'Emonum Acc 2023'!$B$8:$C$43,2,FALSE)*12</f>
        <v>343.92</v>
      </c>
      <c r="I30" s="3">
        <f t="shared" si="3"/>
        <v>1920.44</v>
      </c>
      <c r="J30" s="3">
        <f t="shared" si="1"/>
        <v>26555.839999999997</v>
      </c>
      <c r="K30" s="3">
        <f t="shared" si="8"/>
        <v>7915.35</v>
      </c>
      <c r="L30" s="3">
        <f>ROUND(J30*8.5%,0)</f>
        <v>2257</v>
      </c>
      <c r="M30" s="3">
        <f>J30+K30+L30</f>
        <v>36728.189999999995</v>
      </c>
      <c r="N30" s="22">
        <f>K30+L30</f>
        <v>10172.35</v>
      </c>
      <c r="O30" s="19" t="str">
        <f>A30</f>
        <v>B7</v>
      </c>
      <c r="P30" s="66"/>
      <c r="Q30" s="67"/>
      <c r="R30" s="68"/>
      <c r="S30" s="68"/>
      <c r="T30" s="67"/>
      <c r="U30" s="67"/>
      <c r="W30" s="69"/>
      <c r="X30" s="69"/>
      <c r="Y30" s="69"/>
      <c r="Z30" s="69"/>
      <c r="AA30" s="69"/>
      <c r="AB30" s="69"/>
    </row>
    <row r="31" spans="1:28" s="6" customFormat="1" ht="12" customHeight="1" x14ac:dyDescent="0.2">
      <c r="A31" s="27" t="s">
        <v>21</v>
      </c>
      <c r="B31" s="16">
        <v>22341.84</v>
      </c>
      <c r="C31" s="33">
        <f>B31-E31</f>
        <v>16008.880000000001</v>
      </c>
      <c r="D31" s="4"/>
      <c r="E31" s="4">
        <f>6332.96</f>
        <v>6332.96</v>
      </c>
      <c r="F31" s="4">
        <f>VLOOKUP($A31,'CCNL Economico 2022'!$Q$7:$S$37,3,FALSE)</f>
        <v>1246.1599999999999</v>
      </c>
      <c r="G31" s="4">
        <f>VLOOKUP($A31,'CCNL Economico 2022'!$A$7:$E$38,5,FALSE)</f>
        <v>168</v>
      </c>
      <c r="H31" s="4">
        <f>VLOOKUP(A31,'Emonum Acc 2023'!$B$8:$C$43,2,FALSE)*12</f>
        <v>333.48</v>
      </c>
      <c r="I31" s="4">
        <f>ROUND((B31)/12,2)</f>
        <v>1861.82</v>
      </c>
      <c r="J31" s="4">
        <f t="shared" si="1"/>
        <v>25951.3</v>
      </c>
      <c r="K31" s="4">
        <f t="shared" si="8"/>
        <v>7725.76</v>
      </c>
      <c r="L31" s="4">
        <f>ROUND(J31*8.5%,0)</f>
        <v>2206</v>
      </c>
      <c r="M31" s="4">
        <f>J31+K31+L31</f>
        <v>35883.06</v>
      </c>
      <c r="N31" s="23">
        <f>K31+L31</f>
        <v>9931.76</v>
      </c>
      <c r="O31" s="20" t="str">
        <f>A31</f>
        <v>B6</v>
      </c>
      <c r="P31" s="66"/>
      <c r="Q31" s="67"/>
      <c r="R31" s="68"/>
      <c r="S31" s="68"/>
      <c r="T31" s="67"/>
      <c r="U31" s="67"/>
      <c r="W31" s="69"/>
      <c r="X31" s="69"/>
      <c r="Y31" s="69"/>
      <c r="Z31" s="69"/>
      <c r="AA31" s="69"/>
      <c r="AB31" s="69"/>
    </row>
    <row r="32" spans="1:28" s="6" customFormat="1" ht="12" customHeight="1" x14ac:dyDescent="0.2">
      <c r="A32" s="27" t="s">
        <v>22</v>
      </c>
      <c r="B32" s="16">
        <v>21510.66</v>
      </c>
      <c r="C32" s="33">
        <f t="shared" si="0"/>
        <v>15177.7</v>
      </c>
      <c r="D32" s="4"/>
      <c r="E32" s="4">
        <f>6332.96</f>
        <v>6332.96</v>
      </c>
      <c r="F32" s="4">
        <f>VLOOKUP($A32,'CCNL Economico 2022'!$Q$7:$S$37,3,FALSE)</f>
        <v>1246.1599999999999</v>
      </c>
      <c r="G32" s="4">
        <f>VLOOKUP($A32,'CCNL Economico 2022'!$A$7:$E$38,5,FALSE)</f>
        <v>204</v>
      </c>
      <c r="H32" s="4">
        <f>VLOOKUP(A32,'Emonum Acc 2023'!$B$8:$C$43,2,FALSE)*12</f>
        <v>321</v>
      </c>
      <c r="I32" s="4">
        <f t="shared" si="3"/>
        <v>1792.56</v>
      </c>
      <c r="J32" s="4">
        <f t="shared" si="1"/>
        <v>25074.38</v>
      </c>
      <c r="K32" s="4">
        <f t="shared" si="8"/>
        <v>7462.4</v>
      </c>
      <c r="L32" s="4">
        <f>ROUND(J32*8.5%,0)</f>
        <v>2131</v>
      </c>
      <c r="M32" s="4">
        <f>J32+K32+L32</f>
        <v>34667.78</v>
      </c>
      <c r="N32" s="23">
        <f>K32+L32</f>
        <v>9593.4</v>
      </c>
      <c r="O32" s="20" t="str">
        <f>A32</f>
        <v>B5</v>
      </c>
      <c r="P32" s="66"/>
      <c r="Q32" s="67"/>
      <c r="R32" s="68"/>
      <c r="S32" s="68"/>
      <c r="T32" s="67"/>
      <c r="U32" s="67"/>
      <c r="W32" s="69"/>
      <c r="X32" s="69"/>
      <c r="Y32" s="69"/>
      <c r="Z32" s="69"/>
      <c r="AA32" s="69"/>
      <c r="AB32" s="69"/>
    </row>
    <row r="33" spans="1:28" s="6" customFormat="1" x14ac:dyDescent="0.2">
      <c r="A33" s="27" t="s">
        <v>23</v>
      </c>
      <c r="B33" s="16">
        <v>20714.320000000003</v>
      </c>
      <c r="C33" s="33">
        <f t="shared" si="0"/>
        <v>14381.360000000004</v>
      </c>
      <c r="D33" s="4"/>
      <c r="E33" s="4">
        <f>6332.96</f>
        <v>6332.96</v>
      </c>
      <c r="F33" s="4">
        <f>VLOOKUP($A33,'CCNL Economico 2022'!$Q$7:$S$37,3,FALSE)</f>
        <v>1246.1599999999999</v>
      </c>
      <c r="G33" s="4">
        <f>VLOOKUP($A33,'CCNL Economico 2022'!$A$7:$E$38,5,FALSE)</f>
        <v>228</v>
      </c>
      <c r="H33" s="4">
        <f>VLOOKUP(A33,'Emonum Acc 2023'!$B$8:$C$43,2,FALSE)*12</f>
        <v>309.12</v>
      </c>
      <c r="I33" s="4">
        <f t="shared" si="3"/>
        <v>1726.19</v>
      </c>
      <c r="J33" s="4">
        <f t="shared" si="1"/>
        <v>24223.79</v>
      </c>
      <c r="K33" s="4">
        <f t="shared" si="8"/>
        <v>7207.56</v>
      </c>
      <c r="L33" s="4">
        <f t="shared" si="4"/>
        <v>2059</v>
      </c>
      <c r="M33" s="4">
        <f t="shared" si="5"/>
        <v>33490.350000000006</v>
      </c>
      <c r="N33" s="23">
        <f t="shared" si="6"/>
        <v>9266.5600000000013</v>
      </c>
      <c r="O33" s="20" t="s">
        <v>23</v>
      </c>
      <c r="P33" s="66"/>
      <c r="Q33" s="67"/>
      <c r="R33" s="68"/>
      <c r="S33" s="68"/>
      <c r="T33" s="67"/>
      <c r="U33" s="67"/>
      <c r="W33" s="69"/>
      <c r="X33" s="69"/>
      <c r="Y33" s="69"/>
      <c r="Z33" s="69"/>
      <c r="AA33" s="69"/>
      <c r="AB33" s="69"/>
    </row>
    <row r="34" spans="1:28" s="6" customFormat="1" x14ac:dyDescent="0.2">
      <c r="A34" s="30" t="s">
        <v>24</v>
      </c>
      <c r="B34" s="16">
        <v>19832.47</v>
      </c>
      <c r="C34" s="33">
        <f t="shared" si="0"/>
        <v>13499.510000000002</v>
      </c>
      <c r="D34" s="4"/>
      <c r="E34" s="4">
        <f>6332.96</f>
        <v>6332.96</v>
      </c>
      <c r="F34" s="4">
        <f>VLOOKUP($A34,'CCNL Economico 2022'!$Q$7:$S$37,3,FALSE)</f>
        <v>1246.1599999999999</v>
      </c>
      <c r="G34" s="4">
        <f>VLOOKUP($A34,'CCNL Economico 2022'!$A$7:$E$38,5,FALSE)</f>
        <v>264</v>
      </c>
      <c r="H34" s="4">
        <f>VLOOKUP(A34,'Emonum Acc 2023'!$B$8:$C$43,2,FALSE)*12</f>
        <v>296.04000000000002</v>
      </c>
      <c r="I34" s="4">
        <f t="shared" si="3"/>
        <v>1652.71</v>
      </c>
      <c r="J34" s="4">
        <f t="shared" si="1"/>
        <v>23291.38</v>
      </c>
      <c r="K34" s="4">
        <f t="shared" si="8"/>
        <v>6927.65</v>
      </c>
      <c r="L34" s="4">
        <f t="shared" si="4"/>
        <v>1980</v>
      </c>
      <c r="M34" s="4">
        <f t="shared" si="5"/>
        <v>32199.03</v>
      </c>
      <c r="N34" s="23">
        <f t="shared" si="6"/>
        <v>8907.65</v>
      </c>
      <c r="O34" s="20" t="s">
        <v>24</v>
      </c>
      <c r="P34" s="66"/>
      <c r="Q34" s="67"/>
      <c r="R34" s="68"/>
      <c r="S34" s="68"/>
      <c r="T34" s="67"/>
      <c r="U34" s="67"/>
      <c r="W34" s="69"/>
      <c r="X34" s="69"/>
      <c r="Y34" s="69"/>
      <c r="Z34" s="69"/>
      <c r="AA34" s="69"/>
      <c r="AB34" s="69"/>
    </row>
    <row r="35" spans="1:28" s="6" customFormat="1" x14ac:dyDescent="0.2">
      <c r="A35" s="27" t="s">
        <v>25</v>
      </c>
      <c r="B35" s="16">
        <v>18991.39</v>
      </c>
      <c r="C35" s="33">
        <f t="shared" si="0"/>
        <v>12700.25</v>
      </c>
      <c r="D35" s="4"/>
      <c r="E35" s="4">
        <f>6291.14</f>
        <v>6291.14</v>
      </c>
      <c r="F35" s="4">
        <f>VLOOKUP($A35,'CCNL Economico 2022'!$Q$7:$S$37,3,FALSE)</f>
        <v>1246.1599999999999</v>
      </c>
      <c r="G35" s="4">
        <f>VLOOKUP($A35,'CCNL Economico 2022'!$A$7:$E$38,5,FALSE)</f>
        <v>300</v>
      </c>
      <c r="H35" s="4">
        <f>VLOOKUP(A35,'Emonum Acc 2023'!$B$8:$C$43,2,FALSE)*12</f>
        <v>283.44</v>
      </c>
      <c r="I35" s="4">
        <f t="shared" si="3"/>
        <v>1582.62</v>
      </c>
      <c r="J35" s="4">
        <f t="shared" si="1"/>
        <v>22403.609999999997</v>
      </c>
      <c r="K35" s="4">
        <f t="shared" si="8"/>
        <v>6661.06</v>
      </c>
      <c r="L35" s="4">
        <f t="shared" si="4"/>
        <v>1904</v>
      </c>
      <c r="M35" s="4">
        <f t="shared" si="5"/>
        <v>30968.67</v>
      </c>
      <c r="N35" s="23">
        <f t="shared" si="6"/>
        <v>8565.0600000000013</v>
      </c>
      <c r="O35" s="20" t="s">
        <v>25</v>
      </c>
      <c r="P35" s="66"/>
      <c r="Q35" s="67"/>
      <c r="R35" s="68"/>
      <c r="S35" s="68"/>
      <c r="T35" s="67"/>
      <c r="U35" s="67"/>
      <c r="W35" s="69"/>
      <c r="X35" s="69"/>
      <c r="Y35" s="69"/>
      <c r="Z35" s="69"/>
      <c r="AA35" s="69"/>
      <c r="AB35" s="69"/>
    </row>
    <row r="36" spans="1:28" s="6" customFormat="1" ht="13.5" thickBot="1" x14ac:dyDescent="0.25">
      <c r="A36" s="31" t="s">
        <v>26</v>
      </c>
      <c r="B36" s="17">
        <v>17866.219999999998</v>
      </c>
      <c r="C36" s="35">
        <f t="shared" si="0"/>
        <v>11629.699999999997</v>
      </c>
      <c r="D36" s="5"/>
      <c r="E36" s="5">
        <f>6236.52</f>
        <v>6236.52</v>
      </c>
      <c r="F36" s="5">
        <f>VLOOKUP($A36,'CCNL Economico 2022'!$Q$7:$S$37,3,FALSE)</f>
        <v>1246.1599999999999</v>
      </c>
      <c r="G36" s="5">
        <f>VLOOKUP($A36,'CCNL Economico 2022'!$A$7:$E$38,5,FALSE)</f>
        <v>336</v>
      </c>
      <c r="H36" s="5">
        <f>VLOOKUP(A36,'Emonum Acc 2023'!$B$8:$C$43,2,FALSE)*12</f>
        <v>266.64</v>
      </c>
      <c r="I36" s="5">
        <f t="shared" si="3"/>
        <v>1488.85</v>
      </c>
      <c r="J36" s="5">
        <f t="shared" si="1"/>
        <v>21203.869999999995</v>
      </c>
      <c r="K36" s="5">
        <f t="shared" si="8"/>
        <v>6301.49</v>
      </c>
      <c r="L36" s="5">
        <f t="shared" si="4"/>
        <v>1802</v>
      </c>
      <c r="M36" s="5">
        <f t="shared" si="5"/>
        <v>29307.359999999993</v>
      </c>
      <c r="N36" s="24">
        <f t="shared" si="6"/>
        <v>8103.49</v>
      </c>
      <c r="O36" s="21" t="s">
        <v>26</v>
      </c>
      <c r="P36" s="66"/>
      <c r="Q36" s="67"/>
      <c r="R36" s="68"/>
      <c r="S36" s="68"/>
      <c r="T36" s="67"/>
      <c r="U36" s="67"/>
      <c r="W36" s="69"/>
      <c r="X36" s="69"/>
      <c r="Y36" s="69"/>
      <c r="Z36" s="69"/>
      <c r="AA36" s="69"/>
      <c r="AB36" s="69"/>
    </row>
    <row r="37" spans="1:28" x14ac:dyDescent="0.2">
      <c r="W37"/>
      <c r="X37"/>
      <c r="Y37"/>
      <c r="Z37"/>
      <c r="AA37"/>
      <c r="AB37"/>
    </row>
    <row r="38" spans="1:28" x14ac:dyDescent="0.2">
      <c r="W38"/>
      <c r="X38"/>
      <c r="Y38"/>
      <c r="Z38"/>
      <c r="AA38"/>
      <c r="AB38"/>
    </row>
    <row r="39" spans="1:28" s="6" customFormat="1" x14ac:dyDescent="0.2">
      <c r="G39" s="18"/>
      <c r="H39" s="18"/>
      <c r="W39"/>
      <c r="X39"/>
      <c r="Y39"/>
      <c r="Z39"/>
      <c r="AA39"/>
      <c r="AB39"/>
    </row>
    <row r="40" spans="1:28" x14ac:dyDescent="0.2">
      <c r="W40"/>
      <c r="X40"/>
      <c r="Y40"/>
      <c r="Z40"/>
      <c r="AA40"/>
      <c r="AB40"/>
    </row>
  </sheetData>
  <printOptions gridLines="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84AA9-ECDC-4292-AAF1-775E475353AF}">
  <sheetPr codeName="Foglio8"/>
  <dimension ref="A1:P39"/>
  <sheetViews>
    <sheetView topLeftCell="A7" zoomScaleNormal="100" workbookViewId="0">
      <selection activeCell="Q23" sqref="Q23"/>
    </sheetView>
  </sheetViews>
  <sheetFormatPr defaultRowHeight="12.75" x14ac:dyDescent="0.2"/>
  <cols>
    <col min="1" max="1" width="6.140625" style="6" customWidth="1"/>
    <col min="2" max="2" width="11.42578125" style="6" customWidth="1"/>
    <col min="3" max="3" width="10.28515625" style="6" customWidth="1"/>
    <col min="4" max="4" width="11.5703125" style="6" customWidth="1"/>
    <col min="5" max="5" width="9.140625" style="6" customWidth="1"/>
    <col min="6" max="6" width="9.42578125" style="6" bestFit="1" customWidth="1"/>
    <col min="7" max="7" width="12.28515625" style="6" customWidth="1"/>
    <col min="8" max="8" width="9.7109375" style="6" bestFit="1" customWidth="1"/>
    <col min="9" max="9" width="10.85546875" style="6" customWidth="1"/>
    <col min="10" max="10" width="10.7109375" style="6" customWidth="1"/>
    <col min="11" max="11" width="12" style="6" customWidth="1"/>
    <col min="12" max="13" width="10.7109375" style="6" customWidth="1"/>
    <col min="14" max="14" width="6.28515625" style="6" customWidth="1"/>
    <col min="15" max="15" width="9.140625" style="6"/>
    <col min="16" max="16384" width="9.140625" style="9"/>
  </cols>
  <sheetData>
    <row r="1" spans="1:16" ht="15.75" x14ac:dyDescent="0.2">
      <c r="B1" s="8"/>
    </row>
    <row r="2" spans="1:16" ht="18.75" x14ac:dyDescent="0.2">
      <c r="A2" s="2" t="s">
        <v>88</v>
      </c>
    </row>
    <row r="3" spans="1:16" x14ac:dyDescent="0.2">
      <c r="A3" s="10" t="s">
        <v>151</v>
      </c>
      <c r="B3" s="10"/>
      <c r="C3" s="10"/>
      <c r="D3" s="10"/>
    </row>
    <row r="4" spans="1:16" ht="13.5" thickBot="1" x14ac:dyDescent="0.25">
      <c r="A4" s="11"/>
    </row>
    <row r="5" spans="1:16" s="14" customFormat="1" ht="64.5" thickBot="1" x14ac:dyDescent="0.25">
      <c r="A5" s="12" t="s">
        <v>27</v>
      </c>
      <c r="B5" s="32" t="s">
        <v>46</v>
      </c>
      <c r="C5" s="7" t="s">
        <v>33</v>
      </c>
      <c r="D5" s="7" t="s">
        <v>36</v>
      </c>
      <c r="E5" s="7" t="s">
        <v>35</v>
      </c>
      <c r="F5" s="7" t="s">
        <v>42</v>
      </c>
      <c r="G5" s="7" t="s">
        <v>100</v>
      </c>
      <c r="H5" s="7" t="s">
        <v>34</v>
      </c>
      <c r="I5" s="7" t="s">
        <v>32</v>
      </c>
      <c r="J5" s="7" t="s">
        <v>37</v>
      </c>
      <c r="K5" s="7" t="s">
        <v>38</v>
      </c>
      <c r="L5" s="7" t="s">
        <v>39</v>
      </c>
      <c r="M5" s="13" t="s">
        <v>40</v>
      </c>
      <c r="N5" s="12" t="s">
        <v>27</v>
      </c>
      <c r="O5" s="25"/>
    </row>
    <row r="6" spans="1:16" x14ac:dyDescent="0.2">
      <c r="A6" s="26" t="s">
        <v>43</v>
      </c>
      <c r="B6" s="15">
        <v>38097.919999999998</v>
      </c>
      <c r="C6" s="34">
        <f t="shared" ref="C6:C36" si="0">B6-E6</f>
        <v>31279.69</v>
      </c>
      <c r="D6" s="3">
        <v>3099</v>
      </c>
      <c r="E6" s="3">
        <f>6818.23</f>
        <v>6818.23</v>
      </c>
      <c r="F6" s="3">
        <f>VLOOKUP($A6,'CCNL Economico 2022'!$Q$7:$S$37,3,FALSE)</f>
        <v>3821.77</v>
      </c>
      <c r="G6" s="3">
        <f>VLOOKUP(A6,'Emonum Acc 2023'!$B$8:$D$43,3,FALSE)*12</f>
        <v>568.68000000000006</v>
      </c>
      <c r="H6" s="3">
        <f>ROUND((B6)/12,2)</f>
        <v>3174.83</v>
      </c>
      <c r="I6" s="3">
        <f>B6+D6+G6+H6+F6</f>
        <v>48762.2</v>
      </c>
      <c r="J6" s="3">
        <f>ROUND((C6)*34.24%+D6*24.2%,2)+ROUND((F6*29.88%+H6*29.88%+E6*29.88%),2)+ROUND(G6*24.2%,2)</f>
        <v>15725.610000000002</v>
      </c>
      <c r="K6" s="3">
        <f>ROUND(I6*8.5%,0)</f>
        <v>4145</v>
      </c>
      <c r="L6" s="3">
        <f>I6+J6+K6</f>
        <v>68632.81</v>
      </c>
      <c r="M6" s="22">
        <f>J6+K6</f>
        <v>19870.61</v>
      </c>
      <c r="N6" s="15" t="str">
        <f>A6</f>
        <v>EP8</v>
      </c>
      <c r="P6" s="6"/>
    </row>
    <row r="7" spans="1:16" x14ac:dyDescent="0.2">
      <c r="A7" s="27" t="s">
        <v>0</v>
      </c>
      <c r="B7" s="16">
        <v>36992.400000000001</v>
      </c>
      <c r="C7" s="33">
        <f>B7-E7</f>
        <v>30174.170000000002</v>
      </c>
      <c r="D7" s="4">
        <v>3099</v>
      </c>
      <c r="E7" s="4">
        <f>6818.23</f>
        <v>6818.23</v>
      </c>
      <c r="F7" s="4">
        <f>VLOOKUP($A7,'CCNL Economico 2022'!$Q$7:$S$37,3,FALSE)</f>
        <v>3821.77</v>
      </c>
      <c r="G7" s="4">
        <f>VLOOKUP(A7,'Emonum Acc 2023'!$B$8:$D$43,3,FALSE)*12</f>
        <v>552.12</v>
      </c>
      <c r="H7" s="4">
        <f>ROUND((B7)/12,2)</f>
        <v>3082.7</v>
      </c>
      <c r="I7" s="4">
        <f>B7+D7+G7+H7+F7</f>
        <v>47547.99</v>
      </c>
      <c r="J7" s="4">
        <f t="shared" ref="J7:J13" si="1">ROUND((C7)*34.24%+D7*24.2%,2)+ROUND((F7*29.88%+H7*29.88%+E7*29.88%),2)+ROUND(G7*24.2%,2)</f>
        <v>15315.54</v>
      </c>
      <c r="K7" s="4">
        <f>ROUND(I7*8.5%,0)</f>
        <v>4042</v>
      </c>
      <c r="L7" s="4">
        <f>I7+J7+K7</f>
        <v>66905.53</v>
      </c>
      <c r="M7" s="23">
        <f>J7+K7</f>
        <v>19357.54</v>
      </c>
      <c r="N7" s="16" t="str">
        <f>A7</f>
        <v>EP7</v>
      </c>
      <c r="P7" s="6"/>
    </row>
    <row r="8" spans="1:16" x14ac:dyDescent="0.2">
      <c r="A8" s="28" t="s">
        <v>1</v>
      </c>
      <c r="B8" s="16">
        <v>35575.949999999997</v>
      </c>
      <c r="C8" s="33">
        <f t="shared" si="0"/>
        <v>28757.719999999998</v>
      </c>
      <c r="D8" s="4">
        <v>3099</v>
      </c>
      <c r="E8" s="4">
        <f>6818.23</f>
        <v>6818.23</v>
      </c>
      <c r="F8" s="4">
        <f>VLOOKUP($A8,'CCNL Economico 2022'!$Q$7:$S$37,3,FALSE)</f>
        <v>3821.77</v>
      </c>
      <c r="G8" s="4">
        <f>VLOOKUP(A8,'Emonum Acc 2023'!$B$8:$D$43,3,FALSE)*12</f>
        <v>531</v>
      </c>
      <c r="H8" s="4">
        <f t="shared" ref="H8:H36" si="2">ROUND((B8)/12,2)</f>
        <v>2964.66</v>
      </c>
      <c r="I8" s="4">
        <f t="shared" ref="I8:I36" si="3">B8+D8+G8+H8+F8</f>
        <v>45992.38</v>
      </c>
      <c r="J8" s="4">
        <f t="shared" si="1"/>
        <v>14790.17</v>
      </c>
      <c r="K8" s="4">
        <f>ROUND(I8*8.5%,0)</f>
        <v>3909</v>
      </c>
      <c r="L8" s="4">
        <f>I8+J8+K8</f>
        <v>64691.549999999996</v>
      </c>
      <c r="M8" s="23">
        <f>J8+K8</f>
        <v>18699.169999999998</v>
      </c>
      <c r="N8" s="16" t="str">
        <f>A8</f>
        <v>EP6</v>
      </c>
      <c r="P8" s="6"/>
    </row>
    <row r="9" spans="1:16" x14ac:dyDescent="0.2">
      <c r="A9" s="28" t="s">
        <v>2</v>
      </c>
      <c r="B9" s="16">
        <v>34219.33</v>
      </c>
      <c r="C9" s="33">
        <f t="shared" si="0"/>
        <v>27401.100000000002</v>
      </c>
      <c r="D9" s="4">
        <v>3099</v>
      </c>
      <c r="E9" s="4">
        <f>6818.23</f>
        <v>6818.23</v>
      </c>
      <c r="F9" s="4">
        <f>VLOOKUP($A9,'CCNL Economico 2022'!$Q$7:$S$37,3,FALSE)</f>
        <v>3821.77</v>
      </c>
      <c r="G9" s="4">
        <f>VLOOKUP(A9,'Emonum Acc 2023'!$B$8:$D$43,3,FALSE)*12</f>
        <v>510.72</v>
      </c>
      <c r="H9" s="4">
        <f t="shared" si="2"/>
        <v>2851.61</v>
      </c>
      <c r="I9" s="4">
        <f t="shared" si="3"/>
        <v>44502.43</v>
      </c>
      <c r="J9" s="4">
        <f t="shared" si="1"/>
        <v>14286.970000000001</v>
      </c>
      <c r="K9" s="4">
        <f t="shared" ref="K9:K36" si="4">ROUND(I9*8.5%,0)</f>
        <v>3783</v>
      </c>
      <c r="L9" s="4">
        <f t="shared" ref="L9:L36" si="5">I9+J9+K9</f>
        <v>62572.4</v>
      </c>
      <c r="M9" s="23">
        <f t="shared" ref="M9:M36" si="6">J9+K9</f>
        <v>18069.97</v>
      </c>
      <c r="N9" s="16" t="s">
        <v>2</v>
      </c>
      <c r="P9" s="6"/>
    </row>
    <row r="10" spans="1:16" x14ac:dyDescent="0.2">
      <c r="A10" s="27" t="s">
        <v>3</v>
      </c>
      <c r="B10" s="16">
        <v>32755.629999999997</v>
      </c>
      <c r="C10" s="33">
        <f t="shared" si="0"/>
        <v>25937.399999999998</v>
      </c>
      <c r="D10" s="4">
        <v>3099</v>
      </c>
      <c r="E10" s="4">
        <f>6818.23</f>
        <v>6818.23</v>
      </c>
      <c r="F10" s="4">
        <f>VLOOKUP($A10,'CCNL Economico 2022'!$Q$7:$S$37,3,FALSE)</f>
        <v>3821.77</v>
      </c>
      <c r="G10" s="4">
        <f>VLOOKUP(A10,'Emonum Acc 2023'!$B$8:$D$43,3,FALSE)*12</f>
        <v>488.88</v>
      </c>
      <c r="H10" s="4">
        <f t="shared" si="2"/>
        <v>2729.64</v>
      </c>
      <c r="I10" s="4">
        <f t="shared" si="3"/>
        <v>42894.919999999991</v>
      </c>
      <c r="J10" s="4">
        <f t="shared" si="1"/>
        <v>13744.08</v>
      </c>
      <c r="K10" s="4">
        <f t="shared" si="4"/>
        <v>3646</v>
      </c>
      <c r="L10" s="4">
        <f t="shared" si="5"/>
        <v>60284.999999999993</v>
      </c>
      <c r="M10" s="23">
        <f t="shared" si="6"/>
        <v>17390.080000000002</v>
      </c>
      <c r="N10" s="16" t="s">
        <v>3</v>
      </c>
      <c r="P10" s="6"/>
    </row>
    <row r="11" spans="1:16" x14ac:dyDescent="0.2">
      <c r="A11" s="28" t="s">
        <v>4</v>
      </c>
      <c r="B11" s="16">
        <v>30359.86</v>
      </c>
      <c r="C11" s="33">
        <f t="shared" si="0"/>
        <v>23677.599999999999</v>
      </c>
      <c r="D11" s="4">
        <v>3099</v>
      </c>
      <c r="E11" s="4">
        <f>6682.26</f>
        <v>6682.26</v>
      </c>
      <c r="F11" s="4">
        <f>VLOOKUP($A11,'CCNL Economico 2022'!$Q$7:$S$37,3,FALSE)</f>
        <v>2909.4</v>
      </c>
      <c r="G11" s="4">
        <f>VLOOKUP(A11,'Emonum Acc 2023'!$B$8:$D$43,3,FALSE)*12</f>
        <v>453.12</v>
      </c>
      <c r="H11" s="4">
        <f t="shared" si="2"/>
        <v>2529.9899999999998</v>
      </c>
      <c r="I11" s="4">
        <f t="shared" si="3"/>
        <v>39351.370000000003</v>
      </c>
      <c r="J11" s="4">
        <f t="shared" si="1"/>
        <v>12588.779999999999</v>
      </c>
      <c r="K11" s="4">
        <f t="shared" si="4"/>
        <v>3345</v>
      </c>
      <c r="L11" s="4">
        <f t="shared" si="5"/>
        <v>55285.15</v>
      </c>
      <c r="M11" s="23">
        <f t="shared" si="6"/>
        <v>15933.779999999999</v>
      </c>
      <c r="N11" s="16" t="s">
        <v>4</v>
      </c>
      <c r="P11" s="6"/>
    </row>
    <row r="12" spans="1:16" x14ac:dyDescent="0.2">
      <c r="A12" s="28" t="s">
        <v>5</v>
      </c>
      <c r="B12" s="16">
        <v>28736.359999999997</v>
      </c>
      <c r="C12" s="33">
        <f t="shared" si="0"/>
        <v>22054.1</v>
      </c>
      <c r="D12" s="4">
        <v>3099</v>
      </c>
      <c r="E12" s="4">
        <f>6682.26</f>
        <v>6682.26</v>
      </c>
      <c r="F12" s="4">
        <f>VLOOKUP($A12,'CCNL Economico 2022'!$Q$7:$S$37,3,FALSE)</f>
        <v>2909.4</v>
      </c>
      <c r="G12" s="4">
        <f>VLOOKUP(A12,'Emonum Acc 2023'!$B$8:$D$43,3,FALSE)*12</f>
        <v>428.88</v>
      </c>
      <c r="H12" s="4">
        <f t="shared" si="2"/>
        <v>2394.6999999999998</v>
      </c>
      <c r="I12" s="4">
        <f t="shared" si="3"/>
        <v>37568.339999999997</v>
      </c>
      <c r="J12" s="4">
        <f t="shared" si="1"/>
        <v>11986.590000000002</v>
      </c>
      <c r="K12" s="4">
        <f t="shared" si="4"/>
        <v>3193</v>
      </c>
      <c r="L12" s="4">
        <f t="shared" si="5"/>
        <v>52747.93</v>
      </c>
      <c r="M12" s="23">
        <f t="shared" si="6"/>
        <v>15179.590000000002</v>
      </c>
      <c r="N12" s="16" t="s">
        <v>5</v>
      </c>
      <c r="P12" s="6"/>
    </row>
    <row r="13" spans="1:16" ht="13.5" thickBot="1" x14ac:dyDescent="0.25">
      <c r="A13" s="29" t="s">
        <v>6</v>
      </c>
      <c r="B13" s="36">
        <v>27024.45</v>
      </c>
      <c r="C13" s="35">
        <f t="shared" si="0"/>
        <v>20342.190000000002</v>
      </c>
      <c r="D13" s="5">
        <v>3099</v>
      </c>
      <c r="E13" s="5">
        <f>6682.26</f>
        <v>6682.26</v>
      </c>
      <c r="F13" s="5">
        <f>VLOOKUP($A13,'CCNL Economico 2022'!$Q$7:$S$37,3,FALSE)</f>
        <v>2909.4</v>
      </c>
      <c r="G13" s="5">
        <f>VLOOKUP(A13,'Emonum Acc 2023'!$B$8:$D$43,3,FALSE)*12</f>
        <v>403.32</v>
      </c>
      <c r="H13" s="5">
        <f t="shared" si="2"/>
        <v>2252.04</v>
      </c>
      <c r="I13" s="5">
        <f t="shared" si="3"/>
        <v>35688.21</v>
      </c>
      <c r="J13" s="5">
        <f t="shared" si="1"/>
        <v>11351.62</v>
      </c>
      <c r="K13" s="5">
        <f t="shared" si="4"/>
        <v>3033</v>
      </c>
      <c r="L13" s="5">
        <f t="shared" si="5"/>
        <v>50072.83</v>
      </c>
      <c r="M13" s="24">
        <f t="shared" si="6"/>
        <v>14384.62</v>
      </c>
      <c r="N13" s="17" t="s">
        <v>6</v>
      </c>
      <c r="P13" s="6"/>
    </row>
    <row r="14" spans="1:16" x14ac:dyDescent="0.2">
      <c r="A14" s="26" t="s">
        <v>44</v>
      </c>
      <c r="B14" s="15">
        <v>31217.34</v>
      </c>
      <c r="C14" s="34">
        <f t="shared" si="0"/>
        <v>24672.1</v>
      </c>
      <c r="D14" s="3"/>
      <c r="E14" s="3">
        <f>6545.24</f>
        <v>6545.24</v>
      </c>
      <c r="F14" s="3">
        <f>VLOOKUP($A14,'CCNL Economico 2022'!$Q$7:$S$37,3,FALSE)</f>
        <v>2422.16</v>
      </c>
      <c r="G14" s="3">
        <f>VLOOKUP(A14,'Emonum Acc 2023'!$B$8:$D$43,3,FALSE)*12</f>
        <v>465.96</v>
      </c>
      <c r="H14" s="3">
        <f t="shared" si="2"/>
        <v>2601.4499999999998</v>
      </c>
      <c r="I14" s="3">
        <f>B14+D14+G14+H14+F14</f>
        <v>36706.910000000003</v>
      </c>
      <c r="J14" s="3">
        <f t="shared" ref="J14:J20" si="7">ROUND((I14-G14)*29.88%+G14*24.2%,2)</f>
        <v>10941.56</v>
      </c>
      <c r="K14" s="3">
        <f>ROUND(I14*8.5%,0)</f>
        <v>3120</v>
      </c>
      <c r="L14" s="3">
        <f>I14+J14+K14</f>
        <v>50768.47</v>
      </c>
      <c r="M14" s="22">
        <f>J14+K14</f>
        <v>14061.56</v>
      </c>
      <c r="N14" s="19" t="str">
        <f>A14</f>
        <v>D8</v>
      </c>
      <c r="P14" s="6"/>
    </row>
    <row r="15" spans="1:16" x14ac:dyDescent="0.2">
      <c r="A15" s="27" t="s">
        <v>7</v>
      </c>
      <c r="B15" s="16">
        <v>30312.9</v>
      </c>
      <c r="C15" s="33">
        <f>B15-E15</f>
        <v>23767.660000000003</v>
      </c>
      <c r="D15" s="4"/>
      <c r="E15" s="4">
        <f t="shared" ref="E15:E21" si="8">6545.24</f>
        <v>6545.24</v>
      </c>
      <c r="F15" s="4">
        <f>VLOOKUP($A15,'CCNL Economico 2022'!$Q$7:$S$37,3,FALSE)</f>
        <v>2422.16</v>
      </c>
      <c r="G15" s="4">
        <f>VLOOKUP(A15,'Emonum Acc 2023'!$B$8:$D$43,3,FALSE)*12</f>
        <v>452.40000000000003</v>
      </c>
      <c r="H15" s="4">
        <f>ROUND((B15)/12,2)</f>
        <v>2526.08</v>
      </c>
      <c r="I15" s="4">
        <f>B15+D15+G15+H15+F15</f>
        <v>35713.540000000008</v>
      </c>
      <c r="J15" s="4">
        <f t="shared" si="7"/>
        <v>10645.51</v>
      </c>
      <c r="K15" s="4">
        <f>ROUND(I15*8.5%,0)</f>
        <v>3036</v>
      </c>
      <c r="L15" s="4">
        <f>I15+J15+K15</f>
        <v>49395.05000000001</v>
      </c>
      <c r="M15" s="23">
        <f>J15+K15</f>
        <v>13681.51</v>
      </c>
      <c r="N15" s="20" t="str">
        <f>A15</f>
        <v>D7</v>
      </c>
      <c r="P15" s="6"/>
    </row>
    <row r="16" spans="1:16" x14ac:dyDescent="0.2">
      <c r="A16" s="28" t="s">
        <v>8</v>
      </c>
      <c r="B16" s="16">
        <v>29251.24</v>
      </c>
      <c r="C16" s="33">
        <f t="shared" si="0"/>
        <v>22706</v>
      </c>
      <c r="D16" s="4"/>
      <c r="E16" s="4">
        <f t="shared" si="8"/>
        <v>6545.24</v>
      </c>
      <c r="F16" s="4">
        <f>VLOOKUP($A16,'CCNL Economico 2022'!$Q$7:$S$37,3,FALSE)</f>
        <v>2422.16</v>
      </c>
      <c r="G16" s="4">
        <f>VLOOKUP(A16,'Emonum Acc 2023'!$B$8:$D$43,3,FALSE)*12</f>
        <v>436.56000000000006</v>
      </c>
      <c r="H16" s="4">
        <f t="shared" si="2"/>
        <v>2437.6</v>
      </c>
      <c r="I16" s="4">
        <f t="shared" si="3"/>
        <v>34547.56</v>
      </c>
      <c r="J16" s="4">
        <f t="shared" si="7"/>
        <v>10298.01</v>
      </c>
      <c r="K16" s="4">
        <f>ROUND(I16*8.5%,0)</f>
        <v>2937</v>
      </c>
      <c r="L16" s="4">
        <f>I16+J16+K16</f>
        <v>47782.57</v>
      </c>
      <c r="M16" s="23">
        <f>J16+K16</f>
        <v>13235.01</v>
      </c>
      <c r="N16" s="20" t="str">
        <f>A16</f>
        <v>D6</v>
      </c>
      <c r="P16" s="6"/>
    </row>
    <row r="17" spans="1:16" x14ac:dyDescent="0.2">
      <c r="A17" s="28" t="s">
        <v>9</v>
      </c>
      <c r="B17" s="16">
        <v>28232.100000000002</v>
      </c>
      <c r="C17" s="33">
        <f t="shared" si="0"/>
        <v>21686.86</v>
      </c>
      <c r="D17" s="4"/>
      <c r="E17" s="4">
        <f t="shared" si="8"/>
        <v>6545.24</v>
      </c>
      <c r="F17" s="4">
        <f>VLOOKUP($A17,'CCNL Economico 2022'!$Q$7:$S$37,3,FALSE)</f>
        <v>2422.16</v>
      </c>
      <c r="G17" s="4">
        <f>VLOOKUP(A17,'Emonum Acc 2023'!$B$8:$D$43,3,FALSE)*12</f>
        <v>421.32</v>
      </c>
      <c r="H17" s="4">
        <f t="shared" si="2"/>
        <v>2352.6799999999998</v>
      </c>
      <c r="I17" s="4">
        <f t="shared" si="3"/>
        <v>33428.26</v>
      </c>
      <c r="J17" s="4">
        <f t="shared" si="7"/>
        <v>9964.43</v>
      </c>
      <c r="K17" s="4">
        <f t="shared" si="4"/>
        <v>2841</v>
      </c>
      <c r="L17" s="4">
        <f t="shared" si="5"/>
        <v>46233.69</v>
      </c>
      <c r="M17" s="23">
        <f t="shared" si="6"/>
        <v>12805.43</v>
      </c>
      <c r="N17" s="20" t="s">
        <v>9</v>
      </c>
      <c r="P17" s="6"/>
    </row>
    <row r="18" spans="1:16" x14ac:dyDescent="0.2">
      <c r="A18" s="28" t="s">
        <v>10</v>
      </c>
      <c r="B18" s="16">
        <v>27259.079999999998</v>
      </c>
      <c r="C18" s="33">
        <f t="shared" si="0"/>
        <v>20713.839999999997</v>
      </c>
      <c r="D18" s="4"/>
      <c r="E18" s="4">
        <f t="shared" si="8"/>
        <v>6545.24</v>
      </c>
      <c r="F18" s="4">
        <f>VLOOKUP($A18,'CCNL Economico 2022'!$Q$7:$S$37,3,FALSE)</f>
        <v>2422.16</v>
      </c>
      <c r="G18" s="4">
        <f>VLOOKUP(A18,'Emonum Acc 2023'!$B$8:$D$43,3,FALSE)*12</f>
        <v>406.79999999999995</v>
      </c>
      <c r="H18" s="4">
        <f t="shared" si="2"/>
        <v>2271.59</v>
      </c>
      <c r="I18" s="4">
        <f t="shared" si="3"/>
        <v>32359.629999999997</v>
      </c>
      <c r="J18" s="4">
        <f t="shared" si="7"/>
        <v>9645.9500000000007</v>
      </c>
      <c r="K18" s="4">
        <f t="shared" si="4"/>
        <v>2751</v>
      </c>
      <c r="L18" s="4">
        <f t="shared" si="5"/>
        <v>44756.58</v>
      </c>
      <c r="M18" s="23">
        <f t="shared" si="6"/>
        <v>12396.95</v>
      </c>
      <c r="N18" s="20" t="s">
        <v>10</v>
      </c>
      <c r="P18" s="6"/>
    </row>
    <row r="19" spans="1:16" s="6" customFormat="1" x14ac:dyDescent="0.2">
      <c r="A19" s="28" t="s">
        <v>11</v>
      </c>
      <c r="B19" s="16">
        <v>25940.93</v>
      </c>
      <c r="C19" s="33">
        <f t="shared" si="0"/>
        <v>19395.690000000002</v>
      </c>
      <c r="D19" s="4"/>
      <c r="E19" s="4">
        <f t="shared" si="8"/>
        <v>6545.24</v>
      </c>
      <c r="F19" s="4">
        <f>VLOOKUP($A19,'CCNL Economico 2022'!$Q$7:$S$37,3,FALSE)</f>
        <v>2422.16</v>
      </c>
      <c r="G19" s="4">
        <f>VLOOKUP(A19,'Emonum Acc 2023'!$B$8:$D$43,3,FALSE)*12</f>
        <v>387.12</v>
      </c>
      <c r="H19" s="4">
        <f t="shared" si="2"/>
        <v>2161.7399999999998</v>
      </c>
      <c r="I19" s="4">
        <f t="shared" si="3"/>
        <v>30911.95</v>
      </c>
      <c r="J19" s="4">
        <f t="shared" si="7"/>
        <v>9214.5</v>
      </c>
      <c r="K19" s="4">
        <f t="shared" si="4"/>
        <v>2628</v>
      </c>
      <c r="L19" s="4">
        <f t="shared" si="5"/>
        <v>42754.45</v>
      </c>
      <c r="M19" s="23">
        <f t="shared" si="6"/>
        <v>11842.5</v>
      </c>
      <c r="N19" s="20" t="s">
        <v>11</v>
      </c>
    </row>
    <row r="20" spans="1:16" s="6" customFormat="1" x14ac:dyDescent="0.2">
      <c r="A20" s="28" t="s">
        <v>12</v>
      </c>
      <c r="B20" s="16">
        <v>24935.440000000002</v>
      </c>
      <c r="C20" s="33">
        <f t="shared" si="0"/>
        <v>18390.200000000004</v>
      </c>
      <c r="D20" s="4"/>
      <c r="E20" s="4">
        <f t="shared" si="8"/>
        <v>6545.24</v>
      </c>
      <c r="F20" s="4">
        <f>VLOOKUP($A20,'CCNL Economico 2022'!$Q$7:$S$37,3,FALSE)</f>
        <v>2422.16</v>
      </c>
      <c r="G20" s="4">
        <f>VLOOKUP(A20,'Emonum Acc 2023'!$B$8:$D$43,3,FALSE)*12</f>
        <v>372.12</v>
      </c>
      <c r="H20" s="4">
        <f t="shared" si="2"/>
        <v>2077.9499999999998</v>
      </c>
      <c r="I20" s="4">
        <f t="shared" si="3"/>
        <v>29807.670000000002</v>
      </c>
      <c r="J20" s="4">
        <f t="shared" si="7"/>
        <v>8885.4</v>
      </c>
      <c r="K20" s="4">
        <f t="shared" si="4"/>
        <v>2534</v>
      </c>
      <c r="L20" s="4">
        <f t="shared" si="5"/>
        <v>41227.07</v>
      </c>
      <c r="M20" s="23">
        <f t="shared" si="6"/>
        <v>11419.4</v>
      </c>
      <c r="N20" s="20" t="s">
        <v>12</v>
      </c>
    </row>
    <row r="21" spans="1:16" s="6" customFormat="1" ht="13.5" thickBot="1" x14ac:dyDescent="0.25">
      <c r="A21" s="29" t="s">
        <v>13</v>
      </c>
      <c r="B21" s="36">
        <v>24021.99</v>
      </c>
      <c r="C21" s="35">
        <f t="shared" si="0"/>
        <v>17476.75</v>
      </c>
      <c r="D21" s="5"/>
      <c r="E21" s="5">
        <f t="shared" si="8"/>
        <v>6545.24</v>
      </c>
      <c r="F21" s="5">
        <f>VLOOKUP($A21,'CCNL Economico 2022'!$Q$7:$S$37,3,FALSE)</f>
        <v>2422.16</v>
      </c>
      <c r="G21" s="5">
        <f>VLOOKUP(A21,'Emonum Acc 2023'!$B$8:$D$43,3,FALSE)*12</f>
        <v>358.56</v>
      </c>
      <c r="H21" s="5">
        <f t="shared" si="2"/>
        <v>2001.83</v>
      </c>
      <c r="I21" s="5">
        <f t="shared" si="3"/>
        <v>28804.540000000005</v>
      </c>
      <c r="J21" s="5">
        <f>ROUND((I21-G21)*29.88%+G21*24.2%,2)</f>
        <v>8586.43</v>
      </c>
      <c r="K21" s="5">
        <f t="shared" si="4"/>
        <v>2448</v>
      </c>
      <c r="L21" s="5">
        <f t="shared" si="5"/>
        <v>39838.97</v>
      </c>
      <c r="M21" s="24">
        <f t="shared" si="6"/>
        <v>11034.43</v>
      </c>
      <c r="N21" s="21" t="s">
        <v>13</v>
      </c>
    </row>
    <row r="22" spans="1:16" s="6" customFormat="1" x14ac:dyDescent="0.2">
      <c r="A22" s="26" t="s">
        <v>45</v>
      </c>
      <c r="B22" s="15">
        <v>25903.34</v>
      </c>
      <c r="C22" s="34">
        <f t="shared" si="0"/>
        <v>19453.260000000002</v>
      </c>
      <c r="D22" s="3"/>
      <c r="E22" s="3">
        <f>6450.08</f>
        <v>6450.08</v>
      </c>
      <c r="F22" s="3">
        <f>VLOOKUP($A22,'CCNL Economico 2022'!$Q$7:$S$37,3,FALSE)</f>
        <v>1693.97</v>
      </c>
      <c r="G22" s="3">
        <f>VLOOKUP(A22,'Emonum Acc 2023'!$B$8:$D$43,3,FALSE)*12</f>
        <v>386.64</v>
      </c>
      <c r="H22" s="3">
        <f t="shared" si="2"/>
        <v>2158.61</v>
      </c>
      <c r="I22" s="3">
        <f t="shared" si="3"/>
        <v>30142.560000000001</v>
      </c>
      <c r="J22" s="3">
        <f t="shared" ref="J22:J36" si="9">ROUND((I22-G22)*29.88%+G22*24.2%,2)</f>
        <v>8984.64</v>
      </c>
      <c r="K22" s="3">
        <f>ROUND(I22*8.5%,0)</f>
        <v>2562</v>
      </c>
      <c r="L22" s="3">
        <f>I22+J22+K22</f>
        <v>41689.199999999997</v>
      </c>
      <c r="M22" s="22">
        <f>J22+K22</f>
        <v>11546.64</v>
      </c>
      <c r="N22" s="19" t="str">
        <f>A22</f>
        <v>C8</v>
      </c>
    </row>
    <row r="23" spans="1:16" s="6" customFormat="1" x14ac:dyDescent="0.2">
      <c r="A23" s="27" t="s">
        <v>14</v>
      </c>
      <c r="B23" s="16">
        <v>25152.78</v>
      </c>
      <c r="C23" s="33">
        <f>B23-E23</f>
        <v>18702.699999999997</v>
      </c>
      <c r="D23" s="4"/>
      <c r="E23" s="4">
        <f>6450.08</f>
        <v>6450.08</v>
      </c>
      <c r="F23" s="4">
        <f>VLOOKUP($A23,'CCNL Economico 2022'!$Q$7:$S$37,3,FALSE)</f>
        <v>1693.97</v>
      </c>
      <c r="G23" s="4">
        <f>VLOOKUP(A23,'Emonum Acc 2023'!$B$8:$D$43,3,FALSE)*12</f>
        <v>375.36</v>
      </c>
      <c r="H23" s="4">
        <f>ROUND((B23)/12,2)</f>
        <v>2096.0700000000002</v>
      </c>
      <c r="I23" s="4">
        <f>B23+D23+G23+H23+F23</f>
        <v>29318.18</v>
      </c>
      <c r="J23" s="4">
        <f t="shared" si="9"/>
        <v>8738.9500000000007</v>
      </c>
      <c r="K23" s="4">
        <f>ROUND(I23*8.5%,0)</f>
        <v>2492</v>
      </c>
      <c r="L23" s="4">
        <f>I23+J23+K23</f>
        <v>40549.130000000005</v>
      </c>
      <c r="M23" s="23">
        <f>J23+K23</f>
        <v>11230.95</v>
      </c>
      <c r="N23" s="20" t="str">
        <f>A23</f>
        <v>C7</v>
      </c>
    </row>
    <row r="24" spans="1:16" s="6" customFormat="1" x14ac:dyDescent="0.2">
      <c r="A24" s="28" t="s">
        <v>15</v>
      </c>
      <c r="B24" s="16">
        <v>24391.439999999999</v>
      </c>
      <c r="C24" s="33">
        <f t="shared" si="0"/>
        <v>17941.36</v>
      </c>
      <c r="D24" s="4"/>
      <c r="E24" s="4">
        <f>6450.08</f>
        <v>6450.08</v>
      </c>
      <c r="F24" s="4">
        <f>VLOOKUP($A24,'CCNL Economico 2022'!$Q$7:$S$37,3,FALSE)</f>
        <v>1693.97</v>
      </c>
      <c r="G24" s="4">
        <f>VLOOKUP(A24,'Emonum Acc 2023'!$B$8:$D$43,3,FALSE)*12</f>
        <v>364.08</v>
      </c>
      <c r="H24" s="4">
        <f t="shared" si="2"/>
        <v>2032.62</v>
      </c>
      <c r="I24" s="4">
        <f t="shared" si="3"/>
        <v>28482.11</v>
      </c>
      <c r="J24" s="4">
        <f t="shared" si="9"/>
        <v>8489.77</v>
      </c>
      <c r="K24" s="4">
        <f>ROUND(I24*8.5%,0)</f>
        <v>2421</v>
      </c>
      <c r="L24" s="4">
        <f>I24+J24+K24</f>
        <v>39392.880000000005</v>
      </c>
      <c r="M24" s="23">
        <f>J24+K24</f>
        <v>10910.77</v>
      </c>
      <c r="N24" s="20" t="str">
        <f>A24</f>
        <v>C6</v>
      </c>
    </row>
    <row r="25" spans="1:16" s="6" customFormat="1" x14ac:dyDescent="0.2">
      <c r="A25" s="28" t="s">
        <v>16</v>
      </c>
      <c r="B25" s="16">
        <v>23647.919999999998</v>
      </c>
      <c r="C25" s="33">
        <f t="shared" si="0"/>
        <v>17197.839999999997</v>
      </c>
      <c r="D25" s="4"/>
      <c r="E25" s="4">
        <f>6450.08</f>
        <v>6450.08</v>
      </c>
      <c r="F25" s="4">
        <f>VLOOKUP($A25,'CCNL Economico 2022'!$Q$7:$S$37,3,FALSE)</f>
        <v>1693.97</v>
      </c>
      <c r="G25" s="4">
        <f>VLOOKUP(A25,'Emonum Acc 2023'!$B$8:$D$43,3,FALSE)*12</f>
        <v>352.92</v>
      </c>
      <c r="H25" s="4">
        <f t="shared" si="2"/>
        <v>1970.66</v>
      </c>
      <c r="I25" s="4">
        <f t="shared" si="3"/>
        <v>27665.469999999998</v>
      </c>
      <c r="J25" s="4">
        <f t="shared" si="9"/>
        <v>8246.4</v>
      </c>
      <c r="K25" s="4">
        <f t="shared" si="4"/>
        <v>2352</v>
      </c>
      <c r="L25" s="4">
        <f>I25+J25+K25</f>
        <v>38263.869999999995</v>
      </c>
      <c r="M25" s="23">
        <f t="shared" si="6"/>
        <v>10598.4</v>
      </c>
      <c r="N25" s="20" t="s">
        <v>16</v>
      </c>
    </row>
    <row r="26" spans="1:16" s="6" customFormat="1" x14ac:dyDescent="0.2">
      <c r="A26" s="27" t="s">
        <v>17</v>
      </c>
      <c r="B26" s="16">
        <v>22945.199999999997</v>
      </c>
      <c r="C26" s="33">
        <f t="shared" si="0"/>
        <v>16495.119999999995</v>
      </c>
      <c r="D26" s="4"/>
      <c r="E26" s="4">
        <f>6450.08</f>
        <v>6450.08</v>
      </c>
      <c r="F26" s="4">
        <f>VLOOKUP($A26,'CCNL Economico 2022'!$Q$7:$S$37,3,FALSE)</f>
        <v>1693.97</v>
      </c>
      <c r="G26" s="4">
        <f>VLOOKUP(A26,'Emonum Acc 2023'!$B$8:$D$43,3,FALSE)*12</f>
        <v>342.48</v>
      </c>
      <c r="H26" s="4">
        <f t="shared" si="2"/>
        <v>1912.1</v>
      </c>
      <c r="I26" s="4">
        <f t="shared" si="3"/>
        <v>26893.749999999996</v>
      </c>
      <c r="J26" s="4">
        <f t="shared" si="9"/>
        <v>8016.4</v>
      </c>
      <c r="K26" s="4">
        <f t="shared" si="4"/>
        <v>2286</v>
      </c>
      <c r="L26" s="4">
        <f t="shared" si="5"/>
        <v>37196.149999999994</v>
      </c>
      <c r="M26" s="23">
        <f t="shared" si="6"/>
        <v>10302.4</v>
      </c>
      <c r="N26" s="20" t="s">
        <v>17</v>
      </c>
    </row>
    <row r="27" spans="1:16" s="6" customFormat="1" x14ac:dyDescent="0.2">
      <c r="A27" s="28" t="s">
        <v>18</v>
      </c>
      <c r="B27" s="16">
        <v>21861.72</v>
      </c>
      <c r="C27" s="33">
        <f t="shared" si="0"/>
        <v>15489.080000000002</v>
      </c>
      <c r="D27" s="4"/>
      <c r="E27" s="4">
        <f>6372.64</f>
        <v>6372.64</v>
      </c>
      <c r="F27" s="4">
        <f>VLOOKUP($A27,'CCNL Economico 2022'!$Q$7:$S$37,3,FALSE)</f>
        <v>1693.97</v>
      </c>
      <c r="G27" s="4">
        <f>VLOOKUP(A27,'Emonum Acc 2023'!$B$8:$D$43,3,FALSE)*12</f>
        <v>326.28000000000003</v>
      </c>
      <c r="H27" s="4">
        <f t="shared" si="2"/>
        <v>1821.81</v>
      </c>
      <c r="I27" s="4">
        <f t="shared" si="3"/>
        <v>25703.780000000002</v>
      </c>
      <c r="J27" s="4">
        <f t="shared" si="9"/>
        <v>7661.76</v>
      </c>
      <c r="K27" s="4">
        <f t="shared" si="4"/>
        <v>2185</v>
      </c>
      <c r="L27" s="4">
        <f t="shared" si="5"/>
        <v>35550.54</v>
      </c>
      <c r="M27" s="23">
        <f t="shared" si="6"/>
        <v>9846.76</v>
      </c>
      <c r="N27" s="20" t="s">
        <v>18</v>
      </c>
    </row>
    <row r="28" spans="1:16" s="6" customFormat="1" x14ac:dyDescent="0.2">
      <c r="A28" s="28" t="s">
        <v>19</v>
      </c>
      <c r="B28" s="16">
        <v>21057.359999999997</v>
      </c>
      <c r="C28" s="33">
        <f t="shared" si="0"/>
        <v>14684.719999999998</v>
      </c>
      <c r="D28" s="4"/>
      <c r="E28" s="4">
        <f>6372.64</f>
        <v>6372.64</v>
      </c>
      <c r="F28" s="4">
        <f>VLOOKUP($A28,'CCNL Economico 2022'!$Q$7:$S$37,3,FALSE)</f>
        <v>1693.97</v>
      </c>
      <c r="G28" s="4">
        <f>VLOOKUP(A28,'Emonum Acc 2023'!$B$8:$D$43,3,FALSE)*12</f>
        <v>314.28000000000003</v>
      </c>
      <c r="H28" s="4">
        <f t="shared" si="2"/>
        <v>1754.78</v>
      </c>
      <c r="I28" s="4">
        <f t="shared" si="3"/>
        <v>24820.389999999996</v>
      </c>
      <c r="J28" s="4">
        <f t="shared" si="9"/>
        <v>7398.48</v>
      </c>
      <c r="K28" s="4">
        <f t="shared" si="4"/>
        <v>2110</v>
      </c>
      <c r="L28" s="4">
        <f t="shared" si="5"/>
        <v>34328.869999999995</v>
      </c>
      <c r="M28" s="23">
        <f t="shared" si="6"/>
        <v>9508.48</v>
      </c>
      <c r="N28" s="20" t="s">
        <v>19</v>
      </c>
    </row>
    <row r="29" spans="1:16" s="6" customFormat="1" ht="13.5" thickBot="1" x14ac:dyDescent="0.25">
      <c r="A29" s="29" t="s">
        <v>20</v>
      </c>
      <c r="B29" s="36">
        <v>20669.440000000002</v>
      </c>
      <c r="C29" s="35">
        <f t="shared" si="0"/>
        <v>14296.800000000003</v>
      </c>
      <c r="D29" s="5"/>
      <c r="E29" s="5">
        <f>6372.64</f>
        <v>6372.64</v>
      </c>
      <c r="F29" s="5">
        <f>VLOOKUP($A29,'CCNL Economico 2022'!$Q$7:$S$37,3,FALSE)</f>
        <v>1693.97</v>
      </c>
      <c r="G29" s="5">
        <f>VLOOKUP(A29,'Emonum Acc 2023'!$B$8:$D$43,3,FALSE)*12</f>
        <v>308.52</v>
      </c>
      <c r="H29" s="5">
        <f t="shared" si="2"/>
        <v>1722.45</v>
      </c>
      <c r="I29" s="5">
        <f t="shared" si="3"/>
        <v>24394.380000000005</v>
      </c>
      <c r="J29" s="5">
        <f t="shared" si="9"/>
        <v>7271.52</v>
      </c>
      <c r="K29" s="5">
        <f t="shared" si="4"/>
        <v>2074</v>
      </c>
      <c r="L29" s="5">
        <f t="shared" si="5"/>
        <v>33739.900000000009</v>
      </c>
      <c r="M29" s="24">
        <f t="shared" si="6"/>
        <v>9345.52</v>
      </c>
      <c r="N29" s="21" t="s">
        <v>20</v>
      </c>
    </row>
    <row r="30" spans="1:16" s="6" customFormat="1" x14ac:dyDescent="0.2">
      <c r="A30" s="26" t="s">
        <v>31</v>
      </c>
      <c r="B30" s="15">
        <v>23045.32</v>
      </c>
      <c r="C30" s="34">
        <f t="shared" si="0"/>
        <v>16712.36</v>
      </c>
      <c r="D30" s="3"/>
      <c r="E30" s="3">
        <f>6332.96</f>
        <v>6332.96</v>
      </c>
      <c r="F30" s="3">
        <f>VLOOKUP($A30,'CCNL Economico 2022'!$Q$7:$S$37,3,FALSE)</f>
        <v>1246.1599999999999</v>
      </c>
      <c r="G30" s="3">
        <f>VLOOKUP(A30,'Emonum Acc 2023'!$B$8:$D$43,3,FALSE)*12</f>
        <v>343.92</v>
      </c>
      <c r="H30" s="3">
        <f t="shared" si="2"/>
        <v>1920.44</v>
      </c>
      <c r="I30" s="3">
        <f t="shared" si="3"/>
        <v>26555.839999999997</v>
      </c>
      <c r="J30" s="3">
        <f t="shared" si="9"/>
        <v>7915.35</v>
      </c>
      <c r="K30" s="3">
        <f>ROUND(I30*8.5%,0)</f>
        <v>2257</v>
      </c>
      <c r="L30" s="3">
        <f>I30+J30+K30</f>
        <v>36728.189999999995</v>
      </c>
      <c r="M30" s="22">
        <f>J30+K30</f>
        <v>10172.35</v>
      </c>
      <c r="N30" s="19" t="str">
        <f>A30</f>
        <v>B7</v>
      </c>
    </row>
    <row r="31" spans="1:16" s="6" customFormat="1" ht="12" customHeight="1" x14ac:dyDescent="0.2">
      <c r="A31" s="27" t="s">
        <v>21</v>
      </c>
      <c r="B31" s="16">
        <v>22491.24</v>
      </c>
      <c r="C31" s="33">
        <f>B31-E31</f>
        <v>16158.280000000002</v>
      </c>
      <c r="D31" s="4"/>
      <c r="E31" s="4">
        <f>6332.96</f>
        <v>6332.96</v>
      </c>
      <c r="F31" s="4">
        <f>VLOOKUP($A31,'CCNL Economico 2022'!$Q$7:$S$37,3,FALSE)</f>
        <v>1246.1599999999999</v>
      </c>
      <c r="G31" s="4">
        <f>VLOOKUP(A31,'Emonum Acc 2023'!$B$8:$D$43,3,FALSE)*12</f>
        <v>335.64</v>
      </c>
      <c r="H31" s="4">
        <f>ROUND((B31)/12,2)</f>
        <v>1874.27</v>
      </c>
      <c r="I31" s="4">
        <f>B31+D31+G31+H31+F31</f>
        <v>25947.31</v>
      </c>
      <c r="J31" s="4">
        <f t="shared" si="9"/>
        <v>7733.99</v>
      </c>
      <c r="K31" s="4">
        <f>ROUND(I31*8.5%,0)</f>
        <v>2206</v>
      </c>
      <c r="L31" s="4">
        <f>I31+J31+K31</f>
        <v>35887.300000000003</v>
      </c>
      <c r="M31" s="23">
        <f>J31+K31</f>
        <v>9939.99</v>
      </c>
      <c r="N31" s="20" t="str">
        <f>A31</f>
        <v>B6</v>
      </c>
    </row>
    <row r="32" spans="1:16" s="6" customFormat="1" ht="12" customHeight="1" x14ac:dyDescent="0.2">
      <c r="A32" s="27" t="s">
        <v>22</v>
      </c>
      <c r="B32" s="16">
        <v>21692.1</v>
      </c>
      <c r="C32" s="33">
        <f t="shared" si="0"/>
        <v>15359.14</v>
      </c>
      <c r="D32" s="4"/>
      <c r="E32" s="4">
        <f>6332.96</f>
        <v>6332.96</v>
      </c>
      <c r="F32" s="4">
        <f>VLOOKUP($A32,'CCNL Economico 2022'!$Q$7:$S$37,3,FALSE)</f>
        <v>1246.1599999999999</v>
      </c>
      <c r="G32" s="4">
        <f>VLOOKUP(A32,'Emonum Acc 2023'!$B$8:$D$43,3,FALSE)*12</f>
        <v>323.76</v>
      </c>
      <c r="H32" s="4">
        <f t="shared" si="2"/>
        <v>1807.68</v>
      </c>
      <c r="I32" s="4">
        <f t="shared" si="3"/>
        <v>25069.699999999997</v>
      </c>
      <c r="J32" s="4">
        <f t="shared" si="9"/>
        <v>7472.44</v>
      </c>
      <c r="K32" s="4">
        <f>ROUND(I32*8.5%,0)</f>
        <v>2131</v>
      </c>
      <c r="L32" s="4">
        <f>I32+J32+K32</f>
        <v>34673.14</v>
      </c>
      <c r="M32" s="23">
        <f>J32+K32</f>
        <v>9603.4399999999987</v>
      </c>
      <c r="N32" s="20" t="str">
        <f>A32</f>
        <v>B5</v>
      </c>
    </row>
    <row r="33" spans="1:16" s="6" customFormat="1" x14ac:dyDescent="0.2">
      <c r="A33" s="27" t="s">
        <v>23</v>
      </c>
      <c r="B33" s="16">
        <v>20917.120000000003</v>
      </c>
      <c r="C33" s="33">
        <f t="shared" si="0"/>
        <v>14584.160000000003</v>
      </c>
      <c r="D33" s="4"/>
      <c r="E33" s="4">
        <f>6332.96</f>
        <v>6332.96</v>
      </c>
      <c r="F33" s="4">
        <f>VLOOKUP($A33,'CCNL Economico 2022'!$Q$7:$S$37,3,FALSE)</f>
        <v>1246.1599999999999</v>
      </c>
      <c r="G33" s="4">
        <f>VLOOKUP(A33,'Emonum Acc 2023'!$B$8:$D$43,3,FALSE)*12</f>
        <v>312.24</v>
      </c>
      <c r="H33" s="4">
        <f t="shared" si="2"/>
        <v>1743.09</v>
      </c>
      <c r="I33" s="4">
        <f t="shared" si="3"/>
        <v>24218.610000000004</v>
      </c>
      <c r="J33" s="4">
        <f t="shared" si="9"/>
        <v>7218.79</v>
      </c>
      <c r="K33" s="4">
        <f t="shared" si="4"/>
        <v>2059</v>
      </c>
      <c r="L33" s="4">
        <f t="shared" si="5"/>
        <v>33496.400000000009</v>
      </c>
      <c r="M33" s="23">
        <f t="shared" si="6"/>
        <v>9277.7900000000009</v>
      </c>
      <c r="N33" s="20" t="s">
        <v>23</v>
      </c>
    </row>
    <row r="34" spans="1:16" s="6" customFormat="1" x14ac:dyDescent="0.2">
      <c r="A34" s="30" t="s">
        <v>24</v>
      </c>
      <c r="B34" s="16">
        <v>20067.310000000001</v>
      </c>
      <c r="C34" s="33">
        <f t="shared" si="0"/>
        <v>13734.350000000002</v>
      </c>
      <c r="D34" s="4"/>
      <c r="E34" s="4">
        <f>6332.96</f>
        <v>6332.96</v>
      </c>
      <c r="F34" s="4">
        <f>VLOOKUP($A34,'CCNL Economico 2022'!$Q$7:$S$37,3,FALSE)</f>
        <v>1246.1599999999999</v>
      </c>
      <c r="G34" s="4">
        <f>VLOOKUP(A34,'Emonum Acc 2023'!$B$8:$D$43,3,FALSE)*12</f>
        <v>299.52</v>
      </c>
      <c r="H34" s="4">
        <f t="shared" si="2"/>
        <v>1672.28</v>
      </c>
      <c r="I34" s="4">
        <f t="shared" si="3"/>
        <v>23285.27</v>
      </c>
      <c r="J34" s="4">
        <f t="shared" si="9"/>
        <v>6940.63</v>
      </c>
      <c r="K34" s="4">
        <f t="shared" si="4"/>
        <v>1979</v>
      </c>
      <c r="L34" s="4">
        <f t="shared" si="5"/>
        <v>32204.9</v>
      </c>
      <c r="M34" s="23">
        <f t="shared" si="6"/>
        <v>8919.630000000001</v>
      </c>
      <c r="N34" s="20" t="s">
        <v>24</v>
      </c>
      <c r="P34" s="84"/>
    </row>
    <row r="35" spans="1:16" s="6" customFormat="1" x14ac:dyDescent="0.2">
      <c r="A35" s="27" t="s">
        <v>25</v>
      </c>
      <c r="B35" s="16">
        <v>19258.27</v>
      </c>
      <c r="C35" s="33">
        <f t="shared" si="0"/>
        <v>12967.130000000001</v>
      </c>
      <c r="D35" s="4"/>
      <c r="E35" s="4">
        <f>6291.14</f>
        <v>6291.14</v>
      </c>
      <c r="F35" s="4">
        <f>VLOOKUP($A35,'CCNL Economico 2022'!$Q$7:$S$37,3,FALSE)</f>
        <v>1246.1599999999999</v>
      </c>
      <c r="G35" s="4">
        <f>VLOOKUP(A35,'Emonum Acc 2023'!$B$8:$D$43,3,FALSE)*12</f>
        <v>287.39999999999998</v>
      </c>
      <c r="H35" s="4">
        <f t="shared" si="2"/>
        <v>1604.86</v>
      </c>
      <c r="I35" s="4">
        <f t="shared" si="3"/>
        <v>22396.690000000002</v>
      </c>
      <c r="J35" s="4">
        <f t="shared" si="9"/>
        <v>6675.81</v>
      </c>
      <c r="K35" s="4">
        <f t="shared" si="4"/>
        <v>1904</v>
      </c>
      <c r="L35" s="4">
        <f t="shared" si="5"/>
        <v>30976.500000000004</v>
      </c>
      <c r="M35" s="23">
        <f t="shared" si="6"/>
        <v>8579.8100000000013</v>
      </c>
      <c r="N35" s="20" t="s">
        <v>25</v>
      </c>
    </row>
    <row r="36" spans="1:16" s="6" customFormat="1" ht="13.5" thickBot="1" x14ac:dyDescent="0.25">
      <c r="A36" s="31" t="s">
        <v>26</v>
      </c>
      <c r="B36" s="17">
        <v>18165.14</v>
      </c>
      <c r="C36" s="35">
        <f t="shared" si="0"/>
        <v>11928.619999999999</v>
      </c>
      <c r="D36" s="5"/>
      <c r="E36" s="5">
        <f>6236.52</f>
        <v>6236.52</v>
      </c>
      <c r="F36" s="5">
        <f>VLOOKUP($A36,'CCNL Economico 2022'!$Q$7:$S$37,3,FALSE)</f>
        <v>1246.1599999999999</v>
      </c>
      <c r="G36" s="5">
        <f>VLOOKUP(A36,'Emonum Acc 2023'!$B$8:$D$43,3,FALSE)*12</f>
        <v>271.08</v>
      </c>
      <c r="H36" s="5">
        <f t="shared" si="2"/>
        <v>1513.76</v>
      </c>
      <c r="I36" s="5">
        <f t="shared" si="3"/>
        <v>21196.14</v>
      </c>
      <c r="J36" s="5">
        <f t="shared" si="9"/>
        <v>6318.01</v>
      </c>
      <c r="K36" s="5">
        <f t="shared" si="4"/>
        <v>1802</v>
      </c>
      <c r="L36" s="5">
        <f t="shared" si="5"/>
        <v>29316.15</v>
      </c>
      <c r="M36" s="24">
        <f t="shared" si="6"/>
        <v>8120.01</v>
      </c>
      <c r="N36" s="21" t="s">
        <v>26</v>
      </c>
    </row>
    <row r="39" spans="1:16" s="6" customFormat="1" x14ac:dyDescent="0.2">
      <c r="G39" s="18"/>
    </row>
  </sheetData>
  <printOptions gridLines="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204A1-5199-4EBF-ACC9-DD3530866163}">
  <dimension ref="A1:N35"/>
  <sheetViews>
    <sheetView topLeftCell="A4" workbookViewId="0">
      <selection activeCell="C7" sqref="C7"/>
    </sheetView>
  </sheetViews>
  <sheetFormatPr defaultRowHeight="12.75" x14ac:dyDescent="0.2"/>
  <sheetData>
    <row r="1" spans="1:14" ht="18.75" x14ac:dyDescent="0.2">
      <c r="A1" s="2" t="s">
        <v>152</v>
      </c>
      <c r="B1" s="6"/>
      <c r="C1" s="6"/>
      <c r="D1" s="6"/>
      <c r="E1" s="6"/>
      <c r="F1" s="6"/>
      <c r="G1" s="6"/>
      <c r="H1" s="6"/>
      <c r="I1" s="6"/>
      <c r="J1" s="6"/>
      <c r="K1" s="6"/>
      <c r="L1" s="6"/>
      <c r="M1" s="6"/>
      <c r="N1" s="6"/>
    </row>
    <row r="2" spans="1:14" x14ac:dyDescent="0.2">
      <c r="A2" s="10" t="s">
        <v>153</v>
      </c>
      <c r="B2" s="10"/>
      <c r="C2" s="10"/>
      <c r="D2" s="6"/>
      <c r="E2" s="10"/>
      <c r="F2" s="10"/>
      <c r="G2" s="6"/>
      <c r="H2" s="6"/>
      <c r="I2" s="6"/>
      <c r="J2" s="6"/>
      <c r="K2" s="6"/>
      <c r="L2" s="6"/>
      <c r="M2" s="6"/>
      <c r="N2" s="6"/>
    </row>
    <row r="3" spans="1:14" ht="13.5" thickBot="1" x14ac:dyDescent="0.25">
      <c r="A3" s="11"/>
      <c r="B3" s="6"/>
      <c r="C3" s="6"/>
      <c r="D3" s="6"/>
      <c r="E3" s="6"/>
      <c r="F3" s="6"/>
      <c r="G3" s="6"/>
      <c r="H3" s="6"/>
      <c r="I3" s="6"/>
      <c r="J3" s="6"/>
      <c r="K3" s="6"/>
      <c r="L3" s="6"/>
      <c r="M3" s="6"/>
      <c r="N3" s="6"/>
    </row>
    <row r="4" spans="1:14" ht="90" thickBot="1" x14ac:dyDescent="0.25">
      <c r="A4" s="85" t="s">
        <v>27</v>
      </c>
      <c r="B4" s="86" t="s">
        <v>46</v>
      </c>
      <c r="C4" s="86" t="s">
        <v>154</v>
      </c>
      <c r="D4" s="87" t="s">
        <v>35</v>
      </c>
      <c r="E4" s="87" t="s">
        <v>33</v>
      </c>
      <c r="F4" s="87" t="s">
        <v>36</v>
      </c>
      <c r="G4" s="87" t="s">
        <v>42</v>
      </c>
      <c r="H4" s="87" t="s">
        <v>155</v>
      </c>
      <c r="I4" s="87" t="s">
        <v>32</v>
      </c>
      <c r="J4" s="87" t="s">
        <v>37</v>
      </c>
      <c r="K4" s="87" t="s">
        <v>38</v>
      </c>
      <c r="L4" s="87" t="s">
        <v>39</v>
      </c>
      <c r="M4" s="88" t="s">
        <v>40</v>
      </c>
      <c r="N4" s="85" t="s">
        <v>27</v>
      </c>
    </row>
    <row r="5" spans="1:14" x14ac:dyDescent="0.2">
      <c r="A5" s="89" t="s">
        <v>43</v>
      </c>
      <c r="B5" s="90">
        <v>37908.32</v>
      </c>
      <c r="C5" s="91">
        <v>1459.92</v>
      </c>
      <c r="D5" s="92">
        <v>6818.23</v>
      </c>
      <c r="E5" s="93">
        <v>32550.01</v>
      </c>
      <c r="F5" s="92">
        <v>3099</v>
      </c>
      <c r="G5" s="92">
        <v>4271.7700000000004</v>
      </c>
      <c r="H5" s="92">
        <v>3280.69</v>
      </c>
      <c r="I5" s="92">
        <v>50019.7</v>
      </c>
      <c r="J5" s="92">
        <v>16189.04</v>
      </c>
      <c r="K5" s="92">
        <v>4252</v>
      </c>
      <c r="L5" s="92">
        <v>70460.739999999991</v>
      </c>
      <c r="M5" s="94">
        <v>20441.04</v>
      </c>
      <c r="N5" s="90" t="s">
        <v>43</v>
      </c>
    </row>
    <row r="6" spans="1:14" x14ac:dyDescent="0.2">
      <c r="A6" s="95" t="s">
        <v>0</v>
      </c>
      <c r="B6" s="96">
        <v>36808.32</v>
      </c>
      <c r="C6" s="97">
        <v>1417.4160000000002</v>
      </c>
      <c r="D6" s="98">
        <v>6818.23</v>
      </c>
      <c r="E6" s="99">
        <v>31407.505999999998</v>
      </c>
      <c r="F6" s="98">
        <v>3099</v>
      </c>
      <c r="G6" s="98">
        <v>4271.7700000000004</v>
      </c>
      <c r="H6" s="98">
        <v>3185.48</v>
      </c>
      <c r="I6" s="98">
        <v>48781.986000000004</v>
      </c>
      <c r="J6" s="98">
        <v>15769.4</v>
      </c>
      <c r="K6" s="98">
        <v>4146</v>
      </c>
      <c r="L6" s="98">
        <v>68697.385999999999</v>
      </c>
      <c r="M6" s="100">
        <v>19915.400000000001</v>
      </c>
      <c r="N6" s="96" t="s">
        <v>0</v>
      </c>
    </row>
    <row r="7" spans="1:14" x14ac:dyDescent="0.2">
      <c r="A7" s="101" t="s">
        <v>1</v>
      </c>
      <c r="B7" s="96">
        <v>35398.949999999997</v>
      </c>
      <c r="C7" s="97">
        <v>1362.9</v>
      </c>
      <c r="D7" s="98">
        <v>6818.23</v>
      </c>
      <c r="E7" s="99">
        <v>29943.62</v>
      </c>
      <c r="F7" s="98">
        <v>3099</v>
      </c>
      <c r="G7" s="98">
        <v>4271.7700000000004</v>
      </c>
      <c r="H7" s="98">
        <v>3063.49</v>
      </c>
      <c r="I7" s="98">
        <v>47196.11</v>
      </c>
      <c r="J7" s="98">
        <v>15231.71</v>
      </c>
      <c r="K7" s="98">
        <v>4012</v>
      </c>
      <c r="L7" s="98">
        <v>66439.820000000007</v>
      </c>
      <c r="M7" s="100">
        <v>19243.71</v>
      </c>
      <c r="N7" s="96" t="s">
        <v>1</v>
      </c>
    </row>
    <row r="8" spans="1:14" x14ac:dyDescent="0.2">
      <c r="A8" s="101" t="s">
        <v>2</v>
      </c>
      <c r="B8" s="96">
        <v>34049.050000000003</v>
      </c>
      <c r="C8" s="97">
        <v>1311.1559999999999</v>
      </c>
      <c r="D8" s="98">
        <v>6818.23</v>
      </c>
      <c r="E8" s="99">
        <v>28541.976000000006</v>
      </c>
      <c r="F8" s="98">
        <v>3099</v>
      </c>
      <c r="G8" s="98">
        <v>4271.7700000000004</v>
      </c>
      <c r="H8" s="98">
        <v>2946.68</v>
      </c>
      <c r="I8" s="98">
        <v>45677.656000000003</v>
      </c>
      <c r="J8" s="98">
        <v>14716.89</v>
      </c>
      <c r="K8" s="98">
        <v>3883</v>
      </c>
      <c r="L8" s="98">
        <v>64277.546000000002</v>
      </c>
      <c r="M8" s="100">
        <v>18599.89</v>
      </c>
      <c r="N8" s="96" t="s">
        <v>2</v>
      </c>
    </row>
    <row r="9" spans="1:14" x14ac:dyDescent="0.2">
      <c r="A9" s="95" t="s">
        <v>3</v>
      </c>
      <c r="B9" s="96">
        <v>32592.67</v>
      </c>
      <c r="C9" s="97">
        <v>1254.7919999999999</v>
      </c>
      <c r="D9" s="98">
        <v>6818.23</v>
      </c>
      <c r="E9" s="99">
        <v>27029.232</v>
      </c>
      <c r="F9" s="98">
        <v>3099</v>
      </c>
      <c r="G9" s="98">
        <v>4271.7700000000004</v>
      </c>
      <c r="H9" s="98">
        <v>2820.62</v>
      </c>
      <c r="I9" s="98">
        <v>44038.851999999999</v>
      </c>
      <c r="J9" s="98">
        <v>14161.26</v>
      </c>
      <c r="K9" s="98">
        <v>3743</v>
      </c>
      <c r="L9" s="98">
        <v>61943.112000000001</v>
      </c>
      <c r="M9" s="100">
        <v>17904.260000000002</v>
      </c>
      <c r="N9" s="96" t="s">
        <v>3</v>
      </c>
    </row>
    <row r="10" spans="1:14" x14ac:dyDescent="0.2">
      <c r="A10" s="101" t="s">
        <v>4</v>
      </c>
      <c r="B10" s="96">
        <v>30208.78</v>
      </c>
      <c r="C10" s="97">
        <v>1163.316</v>
      </c>
      <c r="D10" s="98">
        <v>6682.26</v>
      </c>
      <c r="E10" s="99">
        <v>24689.835999999996</v>
      </c>
      <c r="F10" s="98">
        <v>3099</v>
      </c>
      <c r="G10" s="98">
        <v>3359.4</v>
      </c>
      <c r="H10" s="98">
        <v>2614.34</v>
      </c>
      <c r="I10" s="98">
        <v>40444.836000000003</v>
      </c>
      <c r="J10" s="98">
        <v>12985.37</v>
      </c>
      <c r="K10" s="98">
        <v>3438</v>
      </c>
      <c r="L10" s="98">
        <v>56868.206000000006</v>
      </c>
      <c r="M10" s="100">
        <v>16423.370000000003</v>
      </c>
      <c r="N10" s="96" t="s">
        <v>4</v>
      </c>
    </row>
    <row r="11" spans="1:14" x14ac:dyDescent="0.2">
      <c r="A11" s="101" t="s">
        <v>5</v>
      </c>
      <c r="B11" s="96">
        <v>28593.439999999999</v>
      </c>
      <c r="C11" s="97">
        <v>1100.4839999999999</v>
      </c>
      <c r="D11" s="98">
        <v>6682.26</v>
      </c>
      <c r="E11" s="99">
        <v>23011.663999999997</v>
      </c>
      <c r="F11" s="98">
        <v>3099</v>
      </c>
      <c r="G11" s="98">
        <v>3359.4</v>
      </c>
      <c r="H11" s="98">
        <v>2474.4899999999998</v>
      </c>
      <c r="I11" s="98">
        <v>38626.813999999998</v>
      </c>
      <c r="J11" s="98">
        <v>12368.98</v>
      </c>
      <c r="K11" s="98">
        <v>3283</v>
      </c>
      <c r="L11" s="98">
        <v>54278.793999999994</v>
      </c>
      <c r="M11" s="100">
        <v>15651.98</v>
      </c>
      <c r="N11" s="96" t="s">
        <v>5</v>
      </c>
    </row>
    <row r="12" spans="1:14" ht="13.5" thickBot="1" x14ac:dyDescent="0.25">
      <c r="A12" s="102" t="s">
        <v>6</v>
      </c>
      <c r="B12" s="103">
        <v>26890.05</v>
      </c>
      <c r="C12" s="104">
        <v>1034.8799999999999</v>
      </c>
      <c r="D12" s="105">
        <v>6682.26</v>
      </c>
      <c r="E12" s="106">
        <v>21242.67</v>
      </c>
      <c r="F12" s="105">
        <v>3099</v>
      </c>
      <c r="G12" s="105">
        <v>3359.4</v>
      </c>
      <c r="H12" s="105">
        <v>2327.08</v>
      </c>
      <c r="I12" s="105">
        <v>36710.410000000003</v>
      </c>
      <c r="J12" s="105">
        <v>11719.23</v>
      </c>
      <c r="K12" s="105">
        <v>3120</v>
      </c>
      <c r="L12" s="105">
        <v>51549.64</v>
      </c>
      <c r="M12" s="107">
        <v>14839.23</v>
      </c>
      <c r="N12" s="108" t="s">
        <v>6</v>
      </c>
    </row>
    <row r="13" spans="1:14" x14ac:dyDescent="0.2">
      <c r="A13" s="109" t="s">
        <v>44</v>
      </c>
      <c r="B13" s="110">
        <v>31062.06</v>
      </c>
      <c r="C13" s="111">
        <v>1195.6559999999999</v>
      </c>
      <c r="D13" s="112">
        <v>6545.24</v>
      </c>
      <c r="E13" s="113">
        <v>25712.476000000002</v>
      </c>
      <c r="F13" s="112"/>
      <c r="G13" s="112">
        <v>2842.16</v>
      </c>
      <c r="H13" s="112">
        <v>2688.14</v>
      </c>
      <c r="I13" s="112">
        <v>37788.016000000003</v>
      </c>
      <c r="J13" s="112">
        <v>11291.06</v>
      </c>
      <c r="K13" s="112">
        <v>3212</v>
      </c>
      <c r="L13" s="112">
        <v>52291.076000000001</v>
      </c>
      <c r="M13" s="114">
        <v>14503.06</v>
      </c>
      <c r="N13" s="115" t="s">
        <v>44</v>
      </c>
    </row>
    <row r="14" spans="1:14" x14ac:dyDescent="0.2">
      <c r="A14" s="116" t="s">
        <v>7</v>
      </c>
      <c r="B14" s="117">
        <v>30162.06</v>
      </c>
      <c r="C14" s="118">
        <v>1161.4680000000003</v>
      </c>
      <c r="D14" s="119">
        <v>6545.24</v>
      </c>
      <c r="E14" s="120">
        <v>24778.288</v>
      </c>
      <c r="F14" s="119"/>
      <c r="G14" s="119">
        <v>2842.16</v>
      </c>
      <c r="H14" s="119">
        <v>2610.29</v>
      </c>
      <c r="I14" s="119">
        <v>36775.978000000003</v>
      </c>
      <c r="J14" s="119">
        <v>10988.66</v>
      </c>
      <c r="K14" s="119">
        <v>3126</v>
      </c>
      <c r="L14" s="119">
        <v>50890.638000000006</v>
      </c>
      <c r="M14" s="121">
        <v>14114.66</v>
      </c>
      <c r="N14" s="122" t="s">
        <v>7</v>
      </c>
    </row>
    <row r="15" spans="1:14" x14ac:dyDescent="0.2">
      <c r="A15" s="123" t="s">
        <v>8</v>
      </c>
      <c r="B15" s="117">
        <v>29105.68</v>
      </c>
      <c r="C15" s="118">
        <v>1120.8119999999999</v>
      </c>
      <c r="D15" s="119">
        <v>6545.24</v>
      </c>
      <c r="E15" s="120">
        <v>23681.252</v>
      </c>
      <c r="F15" s="119"/>
      <c r="G15" s="119">
        <v>2842.16</v>
      </c>
      <c r="H15" s="119">
        <v>2518.87</v>
      </c>
      <c r="I15" s="119">
        <v>35587.521999999997</v>
      </c>
      <c r="J15" s="119">
        <v>10633.55</v>
      </c>
      <c r="K15" s="119">
        <v>3025</v>
      </c>
      <c r="L15" s="119">
        <v>49246.072</v>
      </c>
      <c r="M15" s="121">
        <v>13658.55</v>
      </c>
      <c r="N15" s="122" t="s">
        <v>8</v>
      </c>
    </row>
    <row r="16" spans="1:14" x14ac:dyDescent="0.2">
      <c r="A16" s="123" t="s">
        <v>9</v>
      </c>
      <c r="B16" s="117">
        <v>28091.7</v>
      </c>
      <c r="C16" s="118">
        <v>1081.08</v>
      </c>
      <c r="D16" s="119">
        <v>6545.24</v>
      </c>
      <c r="E16" s="120">
        <v>22627.54</v>
      </c>
      <c r="F16" s="119"/>
      <c r="G16" s="119">
        <v>2842.16</v>
      </c>
      <c r="H16" s="119">
        <v>2431.0700000000002</v>
      </c>
      <c r="I16" s="119">
        <v>34446.009999999995</v>
      </c>
      <c r="J16" s="119">
        <v>10292.469999999999</v>
      </c>
      <c r="K16" s="119">
        <v>2928</v>
      </c>
      <c r="L16" s="119">
        <v>47666.479999999996</v>
      </c>
      <c r="M16" s="121">
        <v>13220.47</v>
      </c>
      <c r="N16" s="122" t="s">
        <v>9</v>
      </c>
    </row>
    <row r="17" spans="1:14" x14ac:dyDescent="0.2">
      <c r="A17" s="123" t="s">
        <v>10</v>
      </c>
      <c r="B17" s="117">
        <v>27123.48</v>
      </c>
      <c r="C17" s="118">
        <v>1044.1200000000001</v>
      </c>
      <c r="D17" s="119">
        <v>6545.24</v>
      </c>
      <c r="E17" s="120">
        <v>21622.36</v>
      </c>
      <c r="F17" s="119"/>
      <c r="G17" s="119">
        <v>2842.16</v>
      </c>
      <c r="H17" s="119">
        <v>2347.3000000000002</v>
      </c>
      <c r="I17" s="119">
        <v>33357.06</v>
      </c>
      <c r="J17" s="119">
        <v>9967.09</v>
      </c>
      <c r="K17" s="119">
        <v>2835</v>
      </c>
      <c r="L17" s="119">
        <v>46159.149999999994</v>
      </c>
      <c r="M17" s="121">
        <v>12802.09</v>
      </c>
      <c r="N17" s="122" t="s">
        <v>10</v>
      </c>
    </row>
    <row r="18" spans="1:14" x14ac:dyDescent="0.2">
      <c r="A18" s="123" t="s">
        <v>11</v>
      </c>
      <c r="B18" s="117">
        <v>25811.93</v>
      </c>
      <c r="C18" s="118">
        <v>993.30000000000007</v>
      </c>
      <c r="D18" s="119">
        <v>6545.24</v>
      </c>
      <c r="E18" s="120">
        <v>20259.989999999998</v>
      </c>
      <c r="F18" s="119"/>
      <c r="G18" s="119">
        <v>2842.16</v>
      </c>
      <c r="H18" s="119">
        <v>2233.77</v>
      </c>
      <c r="I18" s="119">
        <v>31881.16</v>
      </c>
      <c r="J18" s="119">
        <v>9526.09</v>
      </c>
      <c r="K18" s="119">
        <v>2710</v>
      </c>
      <c r="L18" s="119">
        <v>44117.25</v>
      </c>
      <c r="M18" s="121">
        <v>12236.09</v>
      </c>
      <c r="N18" s="122" t="s">
        <v>11</v>
      </c>
    </row>
    <row r="19" spans="1:14" x14ac:dyDescent="0.2">
      <c r="A19" s="123" t="s">
        <v>12</v>
      </c>
      <c r="B19" s="117">
        <v>24811.360000000001</v>
      </c>
      <c r="C19" s="118">
        <v>955.41600000000017</v>
      </c>
      <c r="D19" s="119">
        <v>6545.24</v>
      </c>
      <c r="E19" s="120">
        <v>19221.536</v>
      </c>
      <c r="F19" s="119"/>
      <c r="G19" s="119">
        <v>2842.16</v>
      </c>
      <c r="H19" s="119">
        <v>2147.23</v>
      </c>
      <c r="I19" s="119">
        <v>30756.166000000001</v>
      </c>
      <c r="J19" s="119">
        <v>9189.94</v>
      </c>
      <c r="K19" s="119">
        <v>2614</v>
      </c>
      <c r="L19" s="119">
        <v>42560.106</v>
      </c>
      <c r="M19" s="121">
        <v>11803.94</v>
      </c>
      <c r="N19" s="122" t="s">
        <v>12</v>
      </c>
    </row>
    <row r="20" spans="1:14" ht="13.5" thickBot="1" x14ac:dyDescent="0.25">
      <c r="A20" s="124" t="s">
        <v>13</v>
      </c>
      <c r="B20" s="125">
        <v>23902.47</v>
      </c>
      <c r="C20" s="126">
        <v>920.30400000000009</v>
      </c>
      <c r="D20" s="127">
        <v>6545.24</v>
      </c>
      <c r="E20" s="128">
        <v>18277.534</v>
      </c>
      <c r="F20" s="127"/>
      <c r="G20" s="127">
        <v>2842.16</v>
      </c>
      <c r="H20" s="127">
        <v>2068.56</v>
      </c>
      <c r="I20" s="127">
        <v>29733.494000000002</v>
      </c>
      <c r="J20" s="127">
        <v>8884.3700000000008</v>
      </c>
      <c r="K20" s="127">
        <v>2527</v>
      </c>
      <c r="L20" s="127">
        <v>41144.864000000001</v>
      </c>
      <c r="M20" s="129">
        <v>11411.37</v>
      </c>
      <c r="N20" s="130" t="s">
        <v>13</v>
      </c>
    </row>
    <row r="21" spans="1:14" x14ac:dyDescent="0.2">
      <c r="A21" s="131" t="s">
        <v>45</v>
      </c>
      <c r="B21" s="132">
        <v>25774.46</v>
      </c>
      <c r="C21" s="133">
        <v>992.37599999999998</v>
      </c>
      <c r="D21" s="134">
        <v>6450.08</v>
      </c>
      <c r="E21" s="135">
        <v>20316.756000000001</v>
      </c>
      <c r="F21" s="134"/>
      <c r="G21" s="134">
        <v>2053.9700000000003</v>
      </c>
      <c r="H21" s="134">
        <v>2230.5700000000002</v>
      </c>
      <c r="I21" s="134">
        <v>31051.376</v>
      </c>
      <c r="J21" s="134">
        <v>9278.15</v>
      </c>
      <c r="K21" s="134">
        <v>2639</v>
      </c>
      <c r="L21" s="134">
        <v>42968.525999999998</v>
      </c>
      <c r="M21" s="136">
        <v>11917.15</v>
      </c>
      <c r="N21" s="137" t="s">
        <v>45</v>
      </c>
    </row>
    <row r="22" spans="1:14" x14ac:dyDescent="0.2">
      <c r="A22" s="138" t="s">
        <v>14</v>
      </c>
      <c r="B22" s="139">
        <v>25027.62</v>
      </c>
      <c r="C22" s="140">
        <v>963.73200000000008</v>
      </c>
      <c r="D22" s="141">
        <v>6450.08</v>
      </c>
      <c r="E22" s="142">
        <v>19541.271999999997</v>
      </c>
      <c r="F22" s="141"/>
      <c r="G22" s="141">
        <v>2053.9700000000003</v>
      </c>
      <c r="H22" s="141">
        <v>2165.9499999999998</v>
      </c>
      <c r="I22" s="141">
        <v>30211.272000000001</v>
      </c>
      <c r="J22" s="141">
        <v>9027.1299999999992</v>
      </c>
      <c r="K22" s="141">
        <v>2568</v>
      </c>
      <c r="L22" s="141">
        <v>41806.402000000002</v>
      </c>
      <c r="M22" s="143">
        <v>11595.13</v>
      </c>
      <c r="N22" s="144" t="s">
        <v>14</v>
      </c>
    </row>
    <row r="23" spans="1:14" x14ac:dyDescent="0.2">
      <c r="A23" s="145" t="s">
        <v>15</v>
      </c>
      <c r="B23" s="139">
        <v>24270.12</v>
      </c>
      <c r="C23" s="140">
        <v>934.16399999999999</v>
      </c>
      <c r="D23" s="141">
        <v>6450.08</v>
      </c>
      <c r="E23" s="142">
        <v>18754.203999999998</v>
      </c>
      <c r="F23" s="141"/>
      <c r="G23" s="141">
        <v>2053.9700000000003</v>
      </c>
      <c r="H23" s="141">
        <v>2100.36</v>
      </c>
      <c r="I23" s="141">
        <v>29358.614000000001</v>
      </c>
      <c r="J23" s="141">
        <v>8772.35</v>
      </c>
      <c r="K23" s="141">
        <v>2495</v>
      </c>
      <c r="L23" s="141">
        <v>40625.964</v>
      </c>
      <c r="M23" s="143">
        <v>11267.35</v>
      </c>
      <c r="N23" s="144" t="s">
        <v>15</v>
      </c>
    </row>
    <row r="24" spans="1:14" x14ac:dyDescent="0.2">
      <c r="A24" s="145" t="s">
        <v>16</v>
      </c>
      <c r="B24" s="139">
        <v>23530.32</v>
      </c>
      <c r="C24" s="140">
        <v>905.5200000000001</v>
      </c>
      <c r="D24" s="141">
        <v>6450.08</v>
      </c>
      <c r="E24" s="142">
        <v>17985.760000000002</v>
      </c>
      <c r="F24" s="141"/>
      <c r="G24" s="141">
        <v>2053.9700000000003</v>
      </c>
      <c r="H24" s="141">
        <v>2036.32</v>
      </c>
      <c r="I24" s="141">
        <v>28526.13</v>
      </c>
      <c r="J24" s="141">
        <v>8523.61</v>
      </c>
      <c r="K24" s="141">
        <v>2425</v>
      </c>
      <c r="L24" s="141">
        <v>39474.740000000005</v>
      </c>
      <c r="M24" s="143">
        <v>10948.61</v>
      </c>
      <c r="N24" s="144" t="s">
        <v>16</v>
      </c>
    </row>
    <row r="25" spans="1:14" x14ac:dyDescent="0.2">
      <c r="A25" s="138" t="s">
        <v>17</v>
      </c>
      <c r="B25" s="139">
        <v>22831.079999999998</v>
      </c>
      <c r="C25" s="140">
        <v>878.72400000000005</v>
      </c>
      <c r="D25" s="141">
        <v>6450.08</v>
      </c>
      <c r="E25" s="142">
        <v>17259.723999999995</v>
      </c>
      <c r="F25" s="141"/>
      <c r="G25" s="141">
        <v>2053.9700000000003</v>
      </c>
      <c r="H25" s="141">
        <v>1975.82</v>
      </c>
      <c r="I25" s="141">
        <v>27739.593999999997</v>
      </c>
      <c r="J25" s="141">
        <v>8288.59</v>
      </c>
      <c r="K25" s="141">
        <v>2358</v>
      </c>
      <c r="L25" s="141">
        <v>38386.183999999994</v>
      </c>
      <c r="M25" s="143">
        <v>10646.59</v>
      </c>
      <c r="N25" s="144" t="s">
        <v>17</v>
      </c>
    </row>
    <row r="26" spans="1:14" x14ac:dyDescent="0.2">
      <c r="A26" s="145" t="s">
        <v>18</v>
      </c>
      <c r="B26" s="139">
        <v>21753</v>
      </c>
      <c r="C26" s="140">
        <v>837.14400000000001</v>
      </c>
      <c r="D26" s="141">
        <v>6372.64</v>
      </c>
      <c r="E26" s="142">
        <v>16217.504000000001</v>
      </c>
      <c r="F26" s="141"/>
      <c r="G26" s="141">
        <v>2053.9700000000003</v>
      </c>
      <c r="H26" s="141">
        <v>1882.51</v>
      </c>
      <c r="I26" s="141">
        <v>26526.624</v>
      </c>
      <c r="J26" s="141">
        <v>7926.16</v>
      </c>
      <c r="K26" s="141">
        <v>2255</v>
      </c>
      <c r="L26" s="141">
        <v>36707.784</v>
      </c>
      <c r="M26" s="143">
        <v>10181.16</v>
      </c>
      <c r="N26" s="144" t="s">
        <v>18</v>
      </c>
    </row>
    <row r="27" spans="1:14" x14ac:dyDescent="0.2">
      <c r="A27" s="145" t="s">
        <v>19</v>
      </c>
      <c r="B27" s="139">
        <v>20952.599999999999</v>
      </c>
      <c r="C27" s="140">
        <v>806.65200000000004</v>
      </c>
      <c r="D27" s="141">
        <v>6372.64</v>
      </c>
      <c r="E27" s="142">
        <v>15386.612000000001</v>
      </c>
      <c r="F27" s="141"/>
      <c r="G27" s="141">
        <v>2053.9700000000003</v>
      </c>
      <c r="H27" s="141">
        <v>1813.27</v>
      </c>
      <c r="I27" s="141">
        <v>25626.492000000002</v>
      </c>
      <c r="J27" s="141">
        <v>7657.2</v>
      </c>
      <c r="K27" s="141">
        <v>2178</v>
      </c>
      <c r="L27" s="141">
        <v>35461.692000000003</v>
      </c>
      <c r="M27" s="143">
        <v>9835.2000000000007</v>
      </c>
      <c r="N27" s="144" t="s">
        <v>19</v>
      </c>
    </row>
    <row r="28" spans="1:14" ht="13.5" thickBot="1" x14ac:dyDescent="0.25">
      <c r="A28" s="146" t="s">
        <v>20</v>
      </c>
      <c r="B28" s="147">
        <v>20566.600000000002</v>
      </c>
      <c r="C28" s="148">
        <v>791.86800000000005</v>
      </c>
      <c r="D28" s="149">
        <v>6372.64</v>
      </c>
      <c r="E28" s="150">
        <v>14985.828000000001</v>
      </c>
      <c r="F28" s="149"/>
      <c r="G28" s="149">
        <v>2053.9700000000003</v>
      </c>
      <c r="H28" s="149">
        <v>1779.87</v>
      </c>
      <c r="I28" s="149">
        <v>25192.308000000001</v>
      </c>
      <c r="J28" s="149">
        <v>7527.46</v>
      </c>
      <c r="K28" s="149">
        <v>2141</v>
      </c>
      <c r="L28" s="149">
        <v>34860.767999999996</v>
      </c>
      <c r="M28" s="151">
        <v>9668.4599999999991</v>
      </c>
      <c r="N28" s="152" t="s">
        <v>20</v>
      </c>
    </row>
    <row r="29" spans="1:14" x14ac:dyDescent="0.2">
      <c r="A29" s="153" t="s">
        <v>31</v>
      </c>
      <c r="B29" s="154">
        <v>22930.720000000001</v>
      </c>
      <c r="C29" s="155">
        <v>882.42000000000007</v>
      </c>
      <c r="D29" s="156">
        <v>6332.96</v>
      </c>
      <c r="E29" s="157">
        <v>17480.18</v>
      </c>
      <c r="F29" s="156"/>
      <c r="G29" s="156">
        <v>1546.1599999999999</v>
      </c>
      <c r="H29" s="156">
        <v>1984.43</v>
      </c>
      <c r="I29" s="156">
        <v>27343.73</v>
      </c>
      <c r="J29" s="156">
        <v>8170.31</v>
      </c>
      <c r="K29" s="156">
        <v>2324</v>
      </c>
      <c r="L29" s="156">
        <v>37838.04</v>
      </c>
      <c r="M29" s="158">
        <v>10494.310000000001</v>
      </c>
      <c r="N29" s="159" t="s">
        <v>31</v>
      </c>
    </row>
    <row r="30" spans="1:14" x14ac:dyDescent="0.2">
      <c r="A30" s="160" t="s">
        <v>21</v>
      </c>
      <c r="B30" s="161">
        <v>22379.4</v>
      </c>
      <c r="C30" s="162">
        <v>861.16800000000012</v>
      </c>
      <c r="D30" s="163">
        <v>6332.96</v>
      </c>
      <c r="E30" s="164">
        <v>16907.608000000004</v>
      </c>
      <c r="F30" s="163"/>
      <c r="G30" s="163">
        <v>1546.1599999999999</v>
      </c>
      <c r="H30" s="163">
        <v>1936.71</v>
      </c>
      <c r="I30" s="163">
        <v>26723.438000000002</v>
      </c>
      <c r="J30" s="163">
        <v>7984.96</v>
      </c>
      <c r="K30" s="163">
        <v>2271</v>
      </c>
      <c r="L30" s="163">
        <v>36979.398000000001</v>
      </c>
      <c r="M30" s="165">
        <v>10255.959999999999</v>
      </c>
      <c r="N30" s="166" t="s">
        <v>21</v>
      </c>
    </row>
    <row r="31" spans="1:14" x14ac:dyDescent="0.2">
      <c r="A31" s="160" t="s">
        <v>22</v>
      </c>
      <c r="B31" s="161">
        <v>21584.219999999998</v>
      </c>
      <c r="C31" s="162">
        <v>830.67599999999993</v>
      </c>
      <c r="D31" s="163">
        <v>6332.96</v>
      </c>
      <c r="E31" s="164">
        <v>16081.935999999998</v>
      </c>
      <c r="F31" s="163"/>
      <c r="G31" s="163">
        <v>1546.1599999999999</v>
      </c>
      <c r="H31" s="163">
        <v>1867.91</v>
      </c>
      <c r="I31" s="163">
        <v>25828.965999999997</v>
      </c>
      <c r="J31" s="163">
        <v>7717.7</v>
      </c>
      <c r="K31" s="163">
        <v>2195</v>
      </c>
      <c r="L31" s="163">
        <v>35741.665999999997</v>
      </c>
      <c r="M31" s="165">
        <v>9912.7000000000007</v>
      </c>
      <c r="N31" s="166" t="s">
        <v>22</v>
      </c>
    </row>
    <row r="32" spans="1:14" x14ac:dyDescent="0.2">
      <c r="A32" s="160" t="s">
        <v>23</v>
      </c>
      <c r="B32" s="161">
        <v>20813.080000000002</v>
      </c>
      <c r="C32" s="162">
        <v>801.10799999999995</v>
      </c>
      <c r="D32" s="163">
        <v>6332.96</v>
      </c>
      <c r="E32" s="164">
        <v>15281.228000000003</v>
      </c>
      <c r="F32" s="163"/>
      <c r="G32" s="163">
        <v>1546.1599999999999</v>
      </c>
      <c r="H32" s="163">
        <v>1801.18</v>
      </c>
      <c r="I32" s="163">
        <v>24961.528000000002</v>
      </c>
      <c r="J32" s="163">
        <v>7458.5</v>
      </c>
      <c r="K32" s="163">
        <v>2122</v>
      </c>
      <c r="L32" s="163">
        <v>34542.028000000006</v>
      </c>
      <c r="M32" s="165">
        <v>9580.5</v>
      </c>
      <c r="N32" s="166" t="s">
        <v>23</v>
      </c>
    </row>
    <row r="33" spans="1:14" x14ac:dyDescent="0.2">
      <c r="A33" s="167" t="s">
        <v>24</v>
      </c>
      <c r="B33" s="161">
        <v>19967.47</v>
      </c>
      <c r="C33" s="162">
        <v>768.76800000000003</v>
      </c>
      <c r="D33" s="163">
        <v>6332.96</v>
      </c>
      <c r="E33" s="164">
        <v>14403.278000000002</v>
      </c>
      <c r="F33" s="163"/>
      <c r="G33" s="163">
        <v>1546.1599999999999</v>
      </c>
      <c r="H33" s="163">
        <v>1728.02</v>
      </c>
      <c r="I33" s="163">
        <v>24010.418000000001</v>
      </c>
      <c r="J33" s="163">
        <v>7174.31</v>
      </c>
      <c r="K33" s="163">
        <v>2041</v>
      </c>
      <c r="L33" s="163">
        <v>33225.728000000003</v>
      </c>
      <c r="M33" s="165">
        <v>9215.3100000000013</v>
      </c>
      <c r="N33" s="166" t="s">
        <v>24</v>
      </c>
    </row>
    <row r="34" spans="1:14" x14ac:dyDescent="0.2">
      <c r="A34" s="160" t="s">
        <v>25</v>
      </c>
      <c r="B34" s="161">
        <v>19162.510000000002</v>
      </c>
      <c r="C34" s="162">
        <v>737.35199999999998</v>
      </c>
      <c r="D34" s="163">
        <v>6291.14</v>
      </c>
      <c r="E34" s="164">
        <v>13608.722000000002</v>
      </c>
      <c r="F34" s="163"/>
      <c r="G34" s="163">
        <v>1546.1599999999999</v>
      </c>
      <c r="H34" s="163">
        <v>1658.32</v>
      </c>
      <c r="I34" s="163">
        <v>23104.342000000001</v>
      </c>
      <c r="J34" s="163">
        <v>6903.58</v>
      </c>
      <c r="K34" s="163">
        <v>1964</v>
      </c>
      <c r="L34" s="163">
        <v>31971.921999999999</v>
      </c>
      <c r="M34" s="165">
        <v>8867.58</v>
      </c>
      <c r="N34" s="166" t="s">
        <v>25</v>
      </c>
    </row>
    <row r="35" spans="1:14" ht="13.5" thickBot="1" x14ac:dyDescent="0.25">
      <c r="A35" s="168" t="s">
        <v>26</v>
      </c>
      <c r="B35" s="169">
        <v>18074.78</v>
      </c>
      <c r="C35" s="170">
        <v>695.77200000000005</v>
      </c>
      <c r="D35" s="171">
        <v>6236.52</v>
      </c>
      <c r="E35" s="172">
        <v>12534.031999999999</v>
      </c>
      <c r="F35" s="171"/>
      <c r="G35" s="171">
        <v>1546.1599999999999</v>
      </c>
      <c r="H35" s="171">
        <v>1564.21</v>
      </c>
      <c r="I35" s="171">
        <v>21880.921999999999</v>
      </c>
      <c r="J35" s="171">
        <v>6538.02</v>
      </c>
      <c r="K35" s="171">
        <v>1860</v>
      </c>
      <c r="L35" s="171">
        <v>30278.941999999999</v>
      </c>
      <c r="M35" s="173">
        <v>8398.02</v>
      </c>
      <c r="N35" s="174" t="s">
        <v>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76D8A-3D3D-4733-8C4C-7A9FE37FC454}">
  <dimension ref="A1:S42"/>
  <sheetViews>
    <sheetView tabSelected="1" workbookViewId="0">
      <selection activeCell="G40" sqref="G40"/>
    </sheetView>
  </sheetViews>
  <sheetFormatPr defaultRowHeight="12.75" x14ac:dyDescent="0.2"/>
  <cols>
    <col min="1" max="1" width="18" customWidth="1"/>
    <col min="14" max="14" width="12.7109375" customWidth="1"/>
    <col min="19" max="19" width="15" customWidth="1"/>
  </cols>
  <sheetData>
    <row r="1" spans="1:19" ht="18.75" x14ac:dyDescent="0.2">
      <c r="A1" s="2" t="s">
        <v>152</v>
      </c>
      <c r="B1" s="2"/>
      <c r="C1" s="6"/>
      <c r="D1" s="6"/>
      <c r="E1" s="6"/>
      <c r="F1" s="6"/>
      <c r="G1" s="6"/>
      <c r="H1" s="6"/>
      <c r="I1" s="6"/>
      <c r="J1" s="6"/>
      <c r="K1" s="6"/>
      <c r="L1" s="6"/>
      <c r="M1" s="6"/>
      <c r="N1" s="6"/>
      <c r="O1" s="6"/>
      <c r="P1" s="6"/>
      <c r="Q1" s="6"/>
      <c r="R1" s="6"/>
      <c r="S1" s="6"/>
    </row>
    <row r="2" spans="1:19" x14ac:dyDescent="0.2">
      <c r="A2" s="10" t="s">
        <v>194</v>
      </c>
      <c r="B2" s="10"/>
      <c r="C2" s="10"/>
      <c r="D2" s="10"/>
      <c r="E2" s="10"/>
      <c r="F2" s="6"/>
      <c r="G2" s="10"/>
      <c r="H2" s="6"/>
      <c r="I2" s="6"/>
      <c r="J2" s="10"/>
      <c r="K2" s="10"/>
      <c r="L2" s="10"/>
      <c r="M2" s="10"/>
      <c r="N2" s="6"/>
      <c r="O2" s="6"/>
      <c r="P2" s="6"/>
      <c r="Q2" s="6"/>
      <c r="R2" s="6"/>
      <c r="S2" s="6"/>
    </row>
    <row r="3" spans="1:19" ht="13.5" thickBot="1" x14ac:dyDescent="0.25">
      <c r="A3" s="9"/>
      <c r="B3" s="11"/>
      <c r="C3" s="6"/>
      <c r="D3" s="6"/>
      <c r="E3" s="6"/>
      <c r="F3" s="6"/>
      <c r="G3" s="6"/>
      <c r="H3" s="6"/>
      <c r="I3" s="6"/>
      <c r="J3" s="6"/>
      <c r="K3" s="6"/>
      <c r="L3" s="6"/>
      <c r="M3" s="6"/>
      <c r="N3" s="6"/>
      <c r="O3" s="6"/>
      <c r="P3" s="6"/>
      <c r="Q3" s="6"/>
      <c r="R3" s="6"/>
      <c r="S3" s="6"/>
    </row>
    <row r="4" spans="1:19" ht="77.25" thickBot="1" x14ac:dyDescent="0.25">
      <c r="A4" s="175" t="s">
        <v>156</v>
      </c>
      <c r="B4" s="176"/>
      <c r="C4" s="86" t="s">
        <v>157</v>
      </c>
      <c r="D4" s="86" t="s">
        <v>158</v>
      </c>
      <c r="E4" s="86" t="s">
        <v>154</v>
      </c>
      <c r="F4" s="176" t="s">
        <v>35</v>
      </c>
      <c r="G4" s="176" t="s">
        <v>33</v>
      </c>
      <c r="H4" s="176" t="s">
        <v>42</v>
      </c>
      <c r="I4" s="176" t="s">
        <v>159</v>
      </c>
      <c r="J4" s="176" t="s">
        <v>36</v>
      </c>
      <c r="K4" s="176" t="s">
        <v>160</v>
      </c>
      <c r="L4" s="176" t="s">
        <v>161</v>
      </c>
      <c r="M4" s="176"/>
      <c r="N4" s="176" t="s">
        <v>32</v>
      </c>
      <c r="O4" s="176" t="s">
        <v>37</v>
      </c>
      <c r="P4" s="176" t="s">
        <v>38</v>
      </c>
      <c r="Q4" s="176" t="s">
        <v>39</v>
      </c>
      <c r="R4" s="177" t="s">
        <v>40</v>
      </c>
      <c r="S4" s="178" t="s">
        <v>156</v>
      </c>
    </row>
    <row r="5" spans="1:19" x14ac:dyDescent="0.2">
      <c r="A5" s="252" t="s">
        <v>162</v>
      </c>
      <c r="B5" s="179" t="s">
        <v>163</v>
      </c>
      <c r="C5" s="255">
        <v>26890.05</v>
      </c>
      <c r="D5" s="180">
        <v>11018.27</v>
      </c>
      <c r="E5" s="180">
        <v>1459.92</v>
      </c>
      <c r="F5" s="92">
        <v>6818.23</v>
      </c>
      <c r="G5" s="92">
        <v>32550.01</v>
      </c>
      <c r="H5" s="258">
        <v>3359.4</v>
      </c>
      <c r="I5" s="93">
        <v>912.37000000000035</v>
      </c>
      <c r="J5" s="258">
        <v>3099</v>
      </c>
      <c r="K5" s="258">
        <v>2240.84</v>
      </c>
      <c r="L5" s="181">
        <v>1039.8499999999999</v>
      </c>
      <c r="M5" s="180"/>
      <c r="N5" s="92">
        <v>50019.700000000004</v>
      </c>
      <c r="O5" s="92">
        <v>16189.04</v>
      </c>
      <c r="P5" s="92">
        <v>4252</v>
      </c>
      <c r="Q5" s="92">
        <v>70460.740000000005</v>
      </c>
      <c r="R5" s="94">
        <v>20441.04</v>
      </c>
      <c r="S5" s="249" t="s">
        <v>162</v>
      </c>
    </row>
    <row r="6" spans="1:19" x14ac:dyDescent="0.2">
      <c r="A6" s="253"/>
      <c r="B6" s="182" t="s">
        <v>164</v>
      </c>
      <c r="C6" s="256"/>
      <c r="D6" s="183">
        <v>9918.27</v>
      </c>
      <c r="E6" s="183">
        <v>1417.4160000000002</v>
      </c>
      <c r="F6" s="98">
        <v>6818.23</v>
      </c>
      <c r="G6" s="98">
        <v>31407.505999999998</v>
      </c>
      <c r="H6" s="259"/>
      <c r="I6" s="99">
        <v>912.37000000000035</v>
      </c>
      <c r="J6" s="259"/>
      <c r="K6" s="259"/>
      <c r="L6" s="184">
        <v>944.64</v>
      </c>
      <c r="M6" s="183"/>
      <c r="N6" s="98">
        <v>48781.986000000004</v>
      </c>
      <c r="O6" s="98">
        <v>15769.4</v>
      </c>
      <c r="P6" s="98">
        <v>4146</v>
      </c>
      <c r="Q6" s="98">
        <v>68697.385999999999</v>
      </c>
      <c r="R6" s="100">
        <v>19915.400000000001</v>
      </c>
      <c r="S6" s="250"/>
    </row>
    <row r="7" spans="1:19" x14ac:dyDescent="0.2">
      <c r="A7" s="253"/>
      <c r="B7" s="4" t="s">
        <v>165</v>
      </c>
      <c r="C7" s="256"/>
      <c r="D7" s="183">
        <v>8508.8999999999978</v>
      </c>
      <c r="E7" s="183">
        <v>1362.9</v>
      </c>
      <c r="F7" s="98">
        <v>6818.23</v>
      </c>
      <c r="G7" s="98">
        <v>29943.62</v>
      </c>
      <c r="H7" s="259"/>
      <c r="I7" s="99">
        <v>912.37000000000035</v>
      </c>
      <c r="J7" s="259"/>
      <c r="K7" s="259"/>
      <c r="L7" s="184">
        <v>822.65</v>
      </c>
      <c r="M7" s="183"/>
      <c r="N7" s="98">
        <v>47196.110000000008</v>
      </c>
      <c r="O7" s="98">
        <v>15231.72</v>
      </c>
      <c r="P7" s="98">
        <v>4012</v>
      </c>
      <c r="Q7" s="98">
        <v>66439.830000000016</v>
      </c>
      <c r="R7" s="100">
        <v>19243.72</v>
      </c>
      <c r="S7" s="250"/>
    </row>
    <row r="8" spans="1:19" x14ac:dyDescent="0.2">
      <c r="A8" s="253"/>
      <c r="B8" s="4" t="s">
        <v>166</v>
      </c>
      <c r="C8" s="256"/>
      <c r="D8" s="183">
        <v>7159.0000000000036</v>
      </c>
      <c r="E8" s="183">
        <v>1311.1559999999999</v>
      </c>
      <c r="F8" s="98">
        <v>6818.23</v>
      </c>
      <c r="G8" s="98">
        <v>28541.976000000006</v>
      </c>
      <c r="H8" s="259"/>
      <c r="I8" s="99">
        <v>912.37000000000035</v>
      </c>
      <c r="J8" s="259"/>
      <c r="K8" s="259"/>
      <c r="L8" s="184">
        <v>705.85</v>
      </c>
      <c r="M8" s="183"/>
      <c r="N8" s="98">
        <v>45677.666000000005</v>
      </c>
      <c r="O8" s="98">
        <v>14716.89</v>
      </c>
      <c r="P8" s="98">
        <v>3883</v>
      </c>
      <c r="Q8" s="98">
        <v>64277.556000000004</v>
      </c>
      <c r="R8" s="100">
        <v>18599.89</v>
      </c>
      <c r="S8" s="250"/>
    </row>
    <row r="9" spans="1:19" x14ac:dyDescent="0.2">
      <c r="A9" s="253"/>
      <c r="B9" s="182" t="s">
        <v>167</v>
      </c>
      <c r="C9" s="256"/>
      <c r="D9" s="183">
        <v>5702.619999999999</v>
      </c>
      <c r="E9" s="183">
        <v>1254.7919999999999</v>
      </c>
      <c r="F9" s="98">
        <v>6818.23</v>
      </c>
      <c r="G9" s="98">
        <v>27029.232</v>
      </c>
      <c r="H9" s="259"/>
      <c r="I9" s="99">
        <v>912.37000000000035</v>
      </c>
      <c r="J9" s="259"/>
      <c r="K9" s="259"/>
      <c r="L9" s="184">
        <v>579.78</v>
      </c>
      <c r="M9" s="183"/>
      <c r="N9" s="98">
        <v>44038.851999999999</v>
      </c>
      <c r="O9" s="98">
        <v>14161.26</v>
      </c>
      <c r="P9" s="98">
        <v>3743</v>
      </c>
      <c r="Q9" s="98">
        <v>61943.112000000001</v>
      </c>
      <c r="R9" s="100">
        <v>17904.260000000002</v>
      </c>
      <c r="S9" s="250"/>
    </row>
    <row r="10" spans="1:19" x14ac:dyDescent="0.2">
      <c r="A10" s="253"/>
      <c r="B10" s="4" t="s">
        <v>168</v>
      </c>
      <c r="C10" s="256"/>
      <c r="D10" s="183">
        <v>3318.7299999999996</v>
      </c>
      <c r="E10" s="183">
        <v>1163.316</v>
      </c>
      <c r="F10" s="98">
        <v>6682.26</v>
      </c>
      <c r="G10" s="98">
        <v>24689.835999999996</v>
      </c>
      <c r="H10" s="259"/>
      <c r="I10" s="185"/>
      <c r="J10" s="256"/>
      <c r="K10" s="259"/>
      <c r="L10" s="184">
        <v>373.5</v>
      </c>
      <c r="M10" s="183"/>
      <c r="N10" s="98">
        <v>40444.835999999996</v>
      </c>
      <c r="O10" s="98">
        <v>12985.37</v>
      </c>
      <c r="P10" s="98">
        <v>3438</v>
      </c>
      <c r="Q10" s="98">
        <v>56868.205999999998</v>
      </c>
      <c r="R10" s="100">
        <v>16423.370000000003</v>
      </c>
      <c r="S10" s="250"/>
    </row>
    <row r="11" spans="1:19" x14ac:dyDescent="0.2">
      <c r="A11" s="253"/>
      <c r="B11" s="4" t="s">
        <v>169</v>
      </c>
      <c r="C11" s="256"/>
      <c r="D11" s="183">
        <v>1703.3899999999994</v>
      </c>
      <c r="E11" s="183">
        <v>1100.4839999999999</v>
      </c>
      <c r="F11" s="98">
        <v>6682.26</v>
      </c>
      <c r="G11" s="98">
        <v>23011.663999999997</v>
      </c>
      <c r="H11" s="259"/>
      <c r="I11" s="185"/>
      <c r="J11" s="256"/>
      <c r="K11" s="259"/>
      <c r="L11" s="184">
        <v>233.66</v>
      </c>
      <c r="M11" s="183"/>
      <c r="N11" s="98">
        <v>38626.824000000008</v>
      </c>
      <c r="O11" s="98">
        <v>12368.98</v>
      </c>
      <c r="P11" s="98">
        <v>3283</v>
      </c>
      <c r="Q11" s="98">
        <v>54278.804000000004</v>
      </c>
      <c r="R11" s="100">
        <v>15651.98</v>
      </c>
      <c r="S11" s="250"/>
    </row>
    <row r="12" spans="1:19" ht="13.5" thickBot="1" x14ac:dyDescent="0.25">
      <c r="A12" s="254"/>
      <c r="B12" s="186" t="s">
        <v>170</v>
      </c>
      <c r="C12" s="257"/>
      <c r="D12" s="187">
        <v>0</v>
      </c>
      <c r="E12" s="187">
        <v>1034.8799999999999</v>
      </c>
      <c r="F12" s="105">
        <v>6682.26</v>
      </c>
      <c r="G12" s="105">
        <v>21242.67</v>
      </c>
      <c r="H12" s="260"/>
      <c r="I12" s="188"/>
      <c r="J12" s="257"/>
      <c r="K12" s="260"/>
      <c r="L12" s="189">
        <v>86.24</v>
      </c>
      <c r="M12" s="187"/>
      <c r="N12" s="105">
        <v>36710.409999999996</v>
      </c>
      <c r="O12" s="105">
        <v>11719.23</v>
      </c>
      <c r="P12" s="105">
        <v>3120</v>
      </c>
      <c r="Q12" s="105">
        <v>51549.64</v>
      </c>
      <c r="R12" s="107">
        <v>14839.23</v>
      </c>
      <c r="S12" s="251"/>
    </row>
    <row r="13" spans="1:19" x14ac:dyDescent="0.2">
      <c r="A13" s="252" t="s">
        <v>171</v>
      </c>
      <c r="B13" s="179" t="s">
        <v>172</v>
      </c>
      <c r="C13" s="270">
        <v>23902.47</v>
      </c>
      <c r="D13" s="190">
        <v>7159.59</v>
      </c>
      <c r="E13" s="190">
        <v>1195.6559999999999</v>
      </c>
      <c r="F13" s="112">
        <v>6545.24</v>
      </c>
      <c r="G13" s="112">
        <v>25712.476000000002</v>
      </c>
      <c r="H13" s="273">
        <v>2842.16</v>
      </c>
      <c r="I13" s="191"/>
      <c r="J13" s="192"/>
      <c r="K13" s="273">
        <v>1991.87</v>
      </c>
      <c r="L13" s="193">
        <v>696.27</v>
      </c>
      <c r="M13" s="112"/>
      <c r="N13" s="112">
        <v>37788.016000000003</v>
      </c>
      <c r="O13" s="112">
        <v>11291.06</v>
      </c>
      <c r="P13" s="112">
        <v>3212</v>
      </c>
      <c r="Q13" s="112">
        <v>52291.076000000001</v>
      </c>
      <c r="R13" s="114">
        <v>14503.06</v>
      </c>
      <c r="S13" s="276" t="s">
        <v>171</v>
      </c>
    </row>
    <row r="14" spans="1:19" x14ac:dyDescent="0.2">
      <c r="A14" s="253"/>
      <c r="B14" s="182" t="s">
        <v>173</v>
      </c>
      <c r="C14" s="271"/>
      <c r="D14" s="194">
        <v>6259.59</v>
      </c>
      <c r="E14" s="194">
        <v>1161.4680000000003</v>
      </c>
      <c r="F14" s="119">
        <v>6545.24</v>
      </c>
      <c r="G14" s="119">
        <v>24778.288</v>
      </c>
      <c r="H14" s="274"/>
      <c r="I14" s="195"/>
      <c r="J14" s="196"/>
      <c r="K14" s="274"/>
      <c r="L14" s="197">
        <v>618.41999999999996</v>
      </c>
      <c r="M14" s="119"/>
      <c r="N14" s="119">
        <v>36775.978000000003</v>
      </c>
      <c r="O14" s="119">
        <v>10988.66</v>
      </c>
      <c r="P14" s="119">
        <v>3126</v>
      </c>
      <c r="Q14" s="119">
        <v>50890.638000000006</v>
      </c>
      <c r="R14" s="121">
        <v>14114.66</v>
      </c>
      <c r="S14" s="277"/>
    </row>
    <row r="15" spans="1:19" x14ac:dyDescent="0.2">
      <c r="A15" s="253"/>
      <c r="B15" s="4" t="s">
        <v>174</v>
      </c>
      <c r="C15" s="271"/>
      <c r="D15" s="194">
        <v>5203.2099999999991</v>
      </c>
      <c r="E15" s="194">
        <v>1120.8119999999999</v>
      </c>
      <c r="F15" s="119">
        <v>6545.24</v>
      </c>
      <c r="G15" s="119">
        <v>23681.252</v>
      </c>
      <c r="H15" s="274"/>
      <c r="I15" s="195"/>
      <c r="J15" s="196"/>
      <c r="K15" s="274"/>
      <c r="L15" s="197">
        <v>527</v>
      </c>
      <c r="M15" s="119"/>
      <c r="N15" s="119">
        <v>35587.522000000004</v>
      </c>
      <c r="O15" s="119">
        <v>10633.55</v>
      </c>
      <c r="P15" s="119">
        <v>3025</v>
      </c>
      <c r="Q15" s="119">
        <v>49246.072</v>
      </c>
      <c r="R15" s="121">
        <v>13658.55</v>
      </c>
      <c r="S15" s="277"/>
    </row>
    <row r="16" spans="1:19" x14ac:dyDescent="0.2">
      <c r="A16" s="253"/>
      <c r="B16" s="4" t="s">
        <v>175</v>
      </c>
      <c r="C16" s="271"/>
      <c r="D16" s="194">
        <v>4189.2299999999996</v>
      </c>
      <c r="E16" s="194">
        <v>1081.08</v>
      </c>
      <c r="F16" s="119">
        <v>6545.24</v>
      </c>
      <c r="G16" s="119">
        <v>22627.54</v>
      </c>
      <c r="H16" s="274"/>
      <c r="I16" s="195"/>
      <c r="J16" s="196"/>
      <c r="K16" s="274"/>
      <c r="L16" s="197">
        <v>439.19</v>
      </c>
      <c r="M16" s="119"/>
      <c r="N16" s="119">
        <v>34446</v>
      </c>
      <c r="O16" s="119">
        <v>10292.459999999999</v>
      </c>
      <c r="P16" s="119">
        <v>2928</v>
      </c>
      <c r="Q16" s="119">
        <v>47666.46</v>
      </c>
      <c r="R16" s="121">
        <v>13220.46</v>
      </c>
      <c r="S16" s="277"/>
    </row>
    <row r="17" spans="1:19" x14ac:dyDescent="0.2">
      <c r="A17" s="253"/>
      <c r="B17" s="4" t="s">
        <v>176</v>
      </c>
      <c r="C17" s="271"/>
      <c r="D17" s="194">
        <v>3221.0099999999984</v>
      </c>
      <c r="E17" s="194">
        <v>1044.1200000000001</v>
      </c>
      <c r="F17" s="119">
        <v>6545.24</v>
      </c>
      <c r="G17" s="119">
        <v>21622.36</v>
      </c>
      <c r="H17" s="274"/>
      <c r="I17" s="195"/>
      <c r="J17" s="196"/>
      <c r="K17" s="274"/>
      <c r="L17" s="197">
        <v>355.43</v>
      </c>
      <c r="M17" s="119"/>
      <c r="N17" s="119">
        <v>33357.06</v>
      </c>
      <c r="O17" s="119">
        <v>9967.09</v>
      </c>
      <c r="P17" s="119">
        <v>2835</v>
      </c>
      <c r="Q17" s="119">
        <v>46159.149999999994</v>
      </c>
      <c r="R17" s="121">
        <v>12802.09</v>
      </c>
      <c r="S17" s="277"/>
    </row>
    <row r="18" spans="1:19" x14ac:dyDescent="0.2">
      <c r="A18" s="253"/>
      <c r="B18" s="4" t="s">
        <v>177</v>
      </c>
      <c r="C18" s="271"/>
      <c r="D18" s="194">
        <v>1909.4599999999991</v>
      </c>
      <c r="E18" s="194">
        <v>993.30000000000007</v>
      </c>
      <c r="F18" s="119">
        <v>6545.24</v>
      </c>
      <c r="G18" s="119">
        <v>20259.989999999998</v>
      </c>
      <c r="H18" s="274"/>
      <c r="I18" s="195"/>
      <c r="J18" s="196"/>
      <c r="K18" s="274"/>
      <c r="L18" s="197">
        <v>241.9</v>
      </c>
      <c r="M18" s="119"/>
      <c r="N18" s="119">
        <v>31881.16</v>
      </c>
      <c r="O18" s="119">
        <v>9526.09</v>
      </c>
      <c r="P18" s="119">
        <v>2710</v>
      </c>
      <c r="Q18" s="119">
        <v>44117.25</v>
      </c>
      <c r="R18" s="121">
        <v>12236.09</v>
      </c>
      <c r="S18" s="277"/>
    </row>
    <row r="19" spans="1:19" x14ac:dyDescent="0.2">
      <c r="A19" s="253"/>
      <c r="B19" s="4" t="s">
        <v>178</v>
      </c>
      <c r="C19" s="271"/>
      <c r="D19" s="194">
        <v>908.88999999999942</v>
      </c>
      <c r="E19" s="194">
        <v>955.41600000000017</v>
      </c>
      <c r="F19" s="119">
        <v>6545.24</v>
      </c>
      <c r="G19" s="119">
        <v>19221.536</v>
      </c>
      <c r="H19" s="274"/>
      <c r="I19" s="195"/>
      <c r="J19" s="196"/>
      <c r="K19" s="274"/>
      <c r="L19" s="197">
        <v>155.36000000000001</v>
      </c>
      <c r="M19" s="119"/>
      <c r="N19" s="119">
        <v>30756.166000000001</v>
      </c>
      <c r="O19" s="119">
        <v>9189.94</v>
      </c>
      <c r="P19" s="119">
        <v>2614</v>
      </c>
      <c r="Q19" s="119">
        <v>42560.106</v>
      </c>
      <c r="R19" s="121">
        <v>11803.94</v>
      </c>
      <c r="S19" s="277"/>
    </row>
    <row r="20" spans="1:19" ht="13.5" thickBot="1" x14ac:dyDescent="0.25">
      <c r="A20" s="254"/>
      <c r="B20" s="186" t="s">
        <v>179</v>
      </c>
      <c r="C20" s="272"/>
      <c r="D20" s="198">
        <v>0</v>
      </c>
      <c r="E20" s="198">
        <v>920.30400000000009</v>
      </c>
      <c r="F20" s="127">
        <v>6545.24</v>
      </c>
      <c r="G20" s="127">
        <v>18277.534</v>
      </c>
      <c r="H20" s="275"/>
      <c r="I20" s="199"/>
      <c r="J20" s="200"/>
      <c r="K20" s="275"/>
      <c r="L20" s="201">
        <v>76.69</v>
      </c>
      <c r="M20" s="127"/>
      <c r="N20" s="127">
        <v>29733.493999999999</v>
      </c>
      <c r="O20" s="127">
        <v>8884.3700000000008</v>
      </c>
      <c r="P20" s="127">
        <v>2527</v>
      </c>
      <c r="Q20" s="127">
        <v>41144.864000000001</v>
      </c>
      <c r="R20" s="129">
        <v>11411.37</v>
      </c>
      <c r="S20" s="278"/>
    </row>
    <row r="21" spans="1:19" x14ac:dyDescent="0.2">
      <c r="A21" s="252" t="s">
        <v>180</v>
      </c>
      <c r="B21" s="179" t="s">
        <v>181</v>
      </c>
      <c r="C21" s="261">
        <v>20952.599999999999</v>
      </c>
      <c r="D21" s="202">
        <v>4821.8600000000006</v>
      </c>
      <c r="E21" s="202">
        <v>992.37599999999998</v>
      </c>
      <c r="F21" s="134">
        <v>6450.08</v>
      </c>
      <c r="G21" s="134">
        <v>20316.756000000001</v>
      </c>
      <c r="H21" s="264">
        <v>2053.9700000000003</v>
      </c>
      <c r="I21" s="203"/>
      <c r="J21" s="204"/>
      <c r="K21" s="264">
        <v>1746.05</v>
      </c>
      <c r="L21" s="205">
        <v>484.52</v>
      </c>
      <c r="M21" s="134"/>
      <c r="N21" s="134">
        <v>31051.376</v>
      </c>
      <c r="O21" s="134">
        <v>9278.15</v>
      </c>
      <c r="P21" s="134">
        <v>2639</v>
      </c>
      <c r="Q21" s="134">
        <v>42968.525999999998</v>
      </c>
      <c r="R21" s="136">
        <v>11917.15</v>
      </c>
      <c r="S21" s="267" t="s">
        <v>180</v>
      </c>
    </row>
    <row r="22" spans="1:19" x14ac:dyDescent="0.2">
      <c r="A22" s="253"/>
      <c r="B22" s="182" t="s">
        <v>182</v>
      </c>
      <c r="C22" s="262"/>
      <c r="D22" s="206">
        <v>4075.0200000000004</v>
      </c>
      <c r="E22" s="206">
        <v>963.73200000000008</v>
      </c>
      <c r="F22" s="141">
        <v>6450.08</v>
      </c>
      <c r="G22" s="141">
        <v>19541.271999999997</v>
      </c>
      <c r="H22" s="265"/>
      <c r="I22" s="207"/>
      <c r="J22" s="208"/>
      <c r="K22" s="265"/>
      <c r="L22" s="209">
        <v>419.9</v>
      </c>
      <c r="M22" s="141"/>
      <c r="N22" s="141">
        <v>30211.272000000001</v>
      </c>
      <c r="O22" s="141">
        <v>9027.1299999999992</v>
      </c>
      <c r="P22" s="141">
        <v>2568</v>
      </c>
      <c r="Q22" s="141">
        <v>41806.402000000002</v>
      </c>
      <c r="R22" s="143">
        <v>11595.13</v>
      </c>
      <c r="S22" s="268"/>
    </row>
    <row r="23" spans="1:19" x14ac:dyDescent="0.2">
      <c r="A23" s="253"/>
      <c r="B23" s="4" t="s">
        <v>183</v>
      </c>
      <c r="C23" s="262"/>
      <c r="D23" s="206">
        <v>3317.5200000000004</v>
      </c>
      <c r="E23" s="206">
        <v>934.16399999999999</v>
      </c>
      <c r="F23" s="141">
        <v>6450.08</v>
      </c>
      <c r="G23" s="141">
        <v>18754.203999999998</v>
      </c>
      <c r="H23" s="265"/>
      <c r="I23" s="207"/>
      <c r="J23" s="208"/>
      <c r="K23" s="265"/>
      <c r="L23" s="209">
        <v>354.31</v>
      </c>
      <c r="M23" s="141"/>
      <c r="N23" s="141">
        <v>29358.614000000001</v>
      </c>
      <c r="O23" s="141">
        <v>8772.35</v>
      </c>
      <c r="P23" s="141">
        <v>2495</v>
      </c>
      <c r="Q23" s="141">
        <v>40625.964</v>
      </c>
      <c r="R23" s="143">
        <v>11267.35</v>
      </c>
      <c r="S23" s="268"/>
    </row>
    <row r="24" spans="1:19" x14ac:dyDescent="0.2">
      <c r="A24" s="253"/>
      <c r="B24" s="4" t="s">
        <v>184</v>
      </c>
      <c r="C24" s="262"/>
      <c r="D24" s="206">
        <v>2577.7200000000012</v>
      </c>
      <c r="E24" s="206">
        <v>905.5200000000001</v>
      </c>
      <c r="F24" s="141">
        <v>6450.08</v>
      </c>
      <c r="G24" s="141">
        <v>17985.760000000002</v>
      </c>
      <c r="H24" s="265"/>
      <c r="I24" s="207"/>
      <c r="J24" s="208"/>
      <c r="K24" s="265"/>
      <c r="L24" s="209">
        <v>290.27</v>
      </c>
      <c r="M24" s="141"/>
      <c r="N24" s="141">
        <v>28526.13</v>
      </c>
      <c r="O24" s="141">
        <v>8523.61</v>
      </c>
      <c r="P24" s="141">
        <v>2425</v>
      </c>
      <c r="Q24" s="141">
        <v>39474.740000000005</v>
      </c>
      <c r="R24" s="143">
        <v>10948.61</v>
      </c>
      <c r="S24" s="268"/>
    </row>
    <row r="25" spans="1:19" x14ac:dyDescent="0.2">
      <c r="A25" s="253"/>
      <c r="B25" s="182" t="s">
        <v>185</v>
      </c>
      <c r="C25" s="262"/>
      <c r="D25" s="206">
        <v>1878.4799999999996</v>
      </c>
      <c r="E25" s="206">
        <v>878.72400000000005</v>
      </c>
      <c r="F25" s="141">
        <v>6450.08</v>
      </c>
      <c r="G25" s="141">
        <v>17259.723999999995</v>
      </c>
      <c r="H25" s="265"/>
      <c r="I25" s="207"/>
      <c r="J25" s="208"/>
      <c r="K25" s="265"/>
      <c r="L25" s="209">
        <v>229.77</v>
      </c>
      <c r="M25" s="141"/>
      <c r="N25" s="141">
        <v>27739.593999999997</v>
      </c>
      <c r="O25" s="141">
        <v>8288.59</v>
      </c>
      <c r="P25" s="141">
        <v>2358</v>
      </c>
      <c r="Q25" s="141">
        <v>38386.183999999994</v>
      </c>
      <c r="R25" s="143">
        <v>10646.59</v>
      </c>
      <c r="S25" s="268"/>
    </row>
    <row r="26" spans="1:19" x14ac:dyDescent="0.2">
      <c r="A26" s="253"/>
      <c r="B26" s="4" t="s">
        <v>186</v>
      </c>
      <c r="C26" s="262"/>
      <c r="D26" s="206">
        <v>800.40000000000146</v>
      </c>
      <c r="E26" s="206">
        <v>837.14400000000001</v>
      </c>
      <c r="F26" s="141">
        <v>6372.64</v>
      </c>
      <c r="G26" s="141">
        <v>16217.504000000001</v>
      </c>
      <c r="H26" s="265"/>
      <c r="I26" s="207"/>
      <c r="J26" s="208"/>
      <c r="K26" s="265"/>
      <c r="L26" s="209">
        <v>136.46</v>
      </c>
      <c r="M26" s="141"/>
      <c r="N26" s="141">
        <v>26526.624</v>
      </c>
      <c r="O26" s="141">
        <v>7926.16</v>
      </c>
      <c r="P26" s="141">
        <v>2255</v>
      </c>
      <c r="Q26" s="141">
        <v>36707.784</v>
      </c>
      <c r="R26" s="143">
        <v>10181.16</v>
      </c>
      <c r="S26" s="268"/>
    </row>
    <row r="27" spans="1:19" ht="13.5" thickBot="1" x14ac:dyDescent="0.25">
      <c r="A27" s="254"/>
      <c r="B27" s="5" t="s">
        <v>187</v>
      </c>
      <c r="C27" s="263"/>
      <c r="D27" s="210">
        <v>0</v>
      </c>
      <c r="E27" s="210">
        <v>806.65200000000004</v>
      </c>
      <c r="F27" s="149">
        <v>6372.64</v>
      </c>
      <c r="G27" s="149">
        <v>15386.612000000001</v>
      </c>
      <c r="H27" s="266"/>
      <c r="I27" s="211"/>
      <c r="J27" s="212"/>
      <c r="K27" s="266"/>
      <c r="L27" s="213">
        <v>67.22</v>
      </c>
      <c r="M27" s="149"/>
      <c r="N27" s="149">
        <v>25626.492000000002</v>
      </c>
      <c r="O27" s="149">
        <v>7657.2</v>
      </c>
      <c r="P27" s="149">
        <v>2178</v>
      </c>
      <c r="Q27" s="149">
        <v>35461.692000000003</v>
      </c>
      <c r="R27" s="151">
        <v>9835.2000000000007</v>
      </c>
      <c r="S27" s="269"/>
    </row>
    <row r="28" spans="1:19" x14ac:dyDescent="0.2">
      <c r="A28" s="279" t="s">
        <v>188</v>
      </c>
      <c r="B28" s="179" t="s">
        <v>189</v>
      </c>
      <c r="C28" s="282">
        <v>19967.47</v>
      </c>
      <c r="D28" s="214">
        <v>2963.25</v>
      </c>
      <c r="E28" s="214">
        <v>882.42000000000007</v>
      </c>
      <c r="F28" s="156">
        <v>6332.96</v>
      </c>
      <c r="G28" s="156">
        <v>17480.18</v>
      </c>
      <c r="H28" s="285">
        <v>1546.1599999999999</v>
      </c>
      <c r="I28" s="215"/>
      <c r="J28" s="216"/>
      <c r="K28" s="285">
        <v>1663.96</v>
      </c>
      <c r="L28" s="217">
        <v>320.47000000000003</v>
      </c>
      <c r="M28" s="156"/>
      <c r="N28" s="156">
        <v>27343.73</v>
      </c>
      <c r="O28" s="156">
        <v>8170.31</v>
      </c>
      <c r="P28" s="156">
        <v>2324</v>
      </c>
      <c r="Q28" s="156">
        <v>37838.04</v>
      </c>
      <c r="R28" s="158">
        <v>10494.310000000001</v>
      </c>
      <c r="S28" s="288" t="s">
        <v>188</v>
      </c>
    </row>
    <row r="29" spans="1:19" x14ac:dyDescent="0.2">
      <c r="A29" s="280"/>
      <c r="B29" s="182" t="s">
        <v>190</v>
      </c>
      <c r="C29" s="283"/>
      <c r="D29" s="218">
        <v>2411.9300000000003</v>
      </c>
      <c r="E29" s="218">
        <v>861.16800000000012</v>
      </c>
      <c r="F29" s="163">
        <v>6332.96</v>
      </c>
      <c r="G29" s="163">
        <v>16907.608000000004</v>
      </c>
      <c r="H29" s="286"/>
      <c r="I29" s="219"/>
      <c r="J29" s="220"/>
      <c r="K29" s="286"/>
      <c r="L29" s="221">
        <v>272.76</v>
      </c>
      <c r="M29" s="163"/>
      <c r="N29" s="163">
        <v>26723.448</v>
      </c>
      <c r="O29" s="163">
        <v>7984.97</v>
      </c>
      <c r="P29" s="163">
        <v>2271</v>
      </c>
      <c r="Q29" s="163">
        <v>36979.417999999998</v>
      </c>
      <c r="R29" s="165">
        <v>10255.970000000001</v>
      </c>
      <c r="S29" s="289"/>
    </row>
    <row r="30" spans="1:19" x14ac:dyDescent="0.2">
      <c r="A30" s="280"/>
      <c r="B30" s="182" t="s">
        <v>191</v>
      </c>
      <c r="C30" s="283"/>
      <c r="D30" s="218">
        <v>1616.7499999999964</v>
      </c>
      <c r="E30" s="218">
        <v>830.67599999999993</v>
      </c>
      <c r="F30" s="163">
        <v>6332.96</v>
      </c>
      <c r="G30" s="163">
        <v>16081.935999999998</v>
      </c>
      <c r="H30" s="286"/>
      <c r="I30" s="219"/>
      <c r="J30" s="220"/>
      <c r="K30" s="286"/>
      <c r="L30" s="221">
        <v>203.95</v>
      </c>
      <c r="M30" s="163"/>
      <c r="N30" s="163">
        <v>25828.965999999997</v>
      </c>
      <c r="O30" s="163">
        <v>7717.7</v>
      </c>
      <c r="P30" s="163">
        <v>2195</v>
      </c>
      <c r="Q30" s="163">
        <v>35741.665999999997</v>
      </c>
      <c r="R30" s="165">
        <v>9912.7000000000007</v>
      </c>
      <c r="S30" s="289"/>
    </row>
    <row r="31" spans="1:19" x14ac:dyDescent="0.2">
      <c r="A31" s="280"/>
      <c r="B31" s="182" t="s">
        <v>192</v>
      </c>
      <c r="C31" s="283"/>
      <c r="D31" s="218">
        <v>845.61000000000058</v>
      </c>
      <c r="E31" s="218">
        <v>801.10799999999995</v>
      </c>
      <c r="F31" s="163">
        <v>6332.96</v>
      </c>
      <c r="G31" s="163">
        <v>15281.228000000003</v>
      </c>
      <c r="H31" s="286"/>
      <c r="I31" s="219"/>
      <c r="J31" s="220"/>
      <c r="K31" s="286"/>
      <c r="L31" s="221">
        <v>137.22999999999999</v>
      </c>
      <c r="M31" s="163"/>
      <c r="N31" s="163">
        <v>24961.538</v>
      </c>
      <c r="O31" s="163">
        <v>7458.51</v>
      </c>
      <c r="P31" s="163">
        <v>2122</v>
      </c>
      <c r="Q31" s="163">
        <v>34542.048000000003</v>
      </c>
      <c r="R31" s="165">
        <v>9580.51</v>
      </c>
      <c r="S31" s="289"/>
    </row>
    <row r="32" spans="1:19" ht="39" thickBot="1" x14ac:dyDescent="0.25">
      <c r="A32" s="281"/>
      <c r="B32" s="222" t="s">
        <v>193</v>
      </c>
      <c r="C32" s="284"/>
      <c r="D32" s="223">
        <v>0</v>
      </c>
      <c r="E32" s="223">
        <v>768.76800000000003</v>
      </c>
      <c r="F32" s="171">
        <v>6332.96</v>
      </c>
      <c r="G32" s="171">
        <v>14403.278000000002</v>
      </c>
      <c r="H32" s="287"/>
      <c r="I32" s="224"/>
      <c r="J32" s="225"/>
      <c r="K32" s="287"/>
      <c r="L32" s="226">
        <v>64.06</v>
      </c>
      <c r="M32" s="171"/>
      <c r="N32" s="171">
        <v>24010.418000000001</v>
      </c>
      <c r="O32" s="171">
        <v>7174.31</v>
      </c>
      <c r="P32" s="171">
        <v>2041</v>
      </c>
      <c r="Q32" s="171">
        <v>33225.728000000003</v>
      </c>
      <c r="R32" s="173">
        <v>9215.3100000000013</v>
      </c>
      <c r="S32" s="290"/>
    </row>
    <row r="35" spans="1:14" ht="18.75" x14ac:dyDescent="0.2">
      <c r="A35" s="2" t="s">
        <v>152</v>
      </c>
      <c r="B35" s="6"/>
      <c r="C35" s="6"/>
      <c r="D35" s="6"/>
      <c r="E35" s="6"/>
      <c r="F35" s="6"/>
      <c r="G35" s="6"/>
      <c r="H35" s="6"/>
      <c r="I35" s="6"/>
      <c r="J35" s="6"/>
      <c r="K35" s="6"/>
      <c r="L35" s="6"/>
      <c r="M35" s="6"/>
      <c r="N35" s="6"/>
    </row>
    <row r="36" spans="1:14" x14ac:dyDescent="0.2">
      <c r="A36" s="10" t="s">
        <v>195</v>
      </c>
      <c r="B36" s="10"/>
      <c r="C36" s="10"/>
      <c r="D36" s="6"/>
      <c r="E36" s="10"/>
      <c r="F36" s="6"/>
      <c r="G36" s="10"/>
      <c r="H36" s="10"/>
      <c r="I36" s="6"/>
      <c r="J36" s="6"/>
      <c r="K36" s="6"/>
      <c r="L36" s="6"/>
      <c r="M36" s="6"/>
      <c r="N36" s="6"/>
    </row>
    <row r="37" spans="1:14" ht="13.5" thickBot="1" x14ac:dyDescent="0.25">
      <c r="A37" s="9"/>
      <c r="B37" s="6"/>
      <c r="C37" s="6"/>
      <c r="D37" s="6"/>
      <c r="E37" s="6"/>
      <c r="F37" s="6"/>
      <c r="G37" s="6"/>
      <c r="H37" s="6"/>
      <c r="I37" s="6"/>
      <c r="J37" s="6"/>
      <c r="K37" s="6"/>
      <c r="L37" s="6"/>
      <c r="M37" s="6"/>
      <c r="N37" s="6"/>
    </row>
    <row r="38" spans="1:14" ht="77.25" thickBot="1" x14ac:dyDescent="0.25">
      <c r="A38" s="227" t="s">
        <v>156</v>
      </c>
      <c r="B38" s="87" t="s">
        <v>157</v>
      </c>
      <c r="C38" s="87" t="s">
        <v>154</v>
      </c>
      <c r="D38" s="87" t="s">
        <v>35</v>
      </c>
      <c r="E38" s="87" t="s">
        <v>33</v>
      </c>
      <c r="F38" s="87" t="s">
        <v>42</v>
      </c>
      <c r="G38" s="87" t="s">
        <v>36</v>
      </c>
      <c r="H38" s="87" t="s">
        <v>155</v>
      </c>
      <c r="I38" s="87" t="s">
        <v>32</v>
      </c>
      <c r="J38" s="87" t="s">
        <v>37</v>
      </c>
      <c r="K38" s="87" t="s">
        <v>38</v>
      </c>
      <c r="L38" s="87" t="s">
        <v>39</v>
      </c>
      <c r="M38" s="87" t="s">
        <v>40</v>
      </c>
      <c r="N38" s="228" t="s">
        <v>156</v>
      </c>
    </row>
    <row r="39" spans="1:14" ht="39" thickBot="1" x14ac:dyDescent="0.25">
      <c r="A39" s="229" t="s">
        <v>162</v>
      </c>
      <c r="B39" s="230">
        <v>26890.05</v>
      </c>
      <c r="C39" s="231">
        <v>1034.8799999999999</v>
      </c>
      <c r="D39" s="232">
        <v>6682.26</v>
      </c>
      <c r="E39" s="232">
        <v>21242.67</v>
      </c>
      <c r="F39" s="232">
        <v>3359.4</v>
      </c>
      <c r="G39" s="232">
        <v>3099</v>
      </c>
      <c r="H39" s="232">
        <v>2327.08</v>
      </c>
      <c r="I39" s="232">
        <v>36710.410000000003</v>
      </c>
      <c r="J39" s="232">
        <v>11719.23</v>
      </c>
      <c r="K39" s="232">
        <v>3120</v>
      </c>
      <c r="L39" s="232">
        <v>51549.64</v>
      </c>
      <c r="M39" s="232">
        <v>14839.23</v>
      </c>
      <c r="N39" s="233" t="s">
        <v>162</v>
      </c>
    </row>
    <row r="40" spans="1:14" ht="13.5" thickBot="1" x14ac:dyDescent="0.25">
      <c r="A40" s="234" t="s">
        <v>171</v>
      </c>
      <c r="B40" s="235">
        <v>23902.47</v>
      </c>
      <c r="C40" s="236">
        <v>920.30400000000009</v>
      </c>
      <c r="D40" s="237">
        <v>6545.24</v>
      </c>
      <c r="E40" s="237">
        <v>18277.534</v>
      </c>
      <c r="F40" s="237">
        <v>2842.16</v>
      </c>
      <c r="G40" s="237"/>
      <c r="H40" s="237">
        <v>2068.56</v>
      </c>
      <c r="I40" s="237">
        <v>29733.494000000002</v>
      </c>
      <c r="J40" s="237">
        <v>8884.3700000000008</v>
      </c>
      <c r="K40" s="237">
        <v>2527</v>
      </c>
      <c r="L40" s="237">
        <v>41144.864000000001</v>
      </c>
      <c r="M40" s="237">
        <v>11411.37</v>
      </c>
      <c r="N40" s="238" t="s">
        <v>171</v>
      </c>
    </row>
    <row r="41" spans="1:14" ht="26.25" thickBot="1" x14ac:dyDescent="0.25">
      <c r="A41" s="239" t="s">
        <v>180</v>
      </c>
      <c r="B41" s="240">
        <v>20952.599999999999</v>
      </c>
      <c r="C41" s="241">
        <v>806.65200000000004</v>
      </c>
      <c r="D41" s="242">
        <v>6450.08</v>
      </c>
      <c r="E41" s="242">
        <v>15309.172</v>
      </c>
      <c r="F41" s="242">
        <v>2053.9700000000003</v>
      </c>
      <c r="G41" s="242"/>
      <c r="H41" s="242">
        <v>1813.27</v>
      </c>
      <c r="I41" s="242">
        <v>25626.492000000002</v>
      </c>
      <c r="J41" s="242">
        <v>7657.2</v>
      </c>
      <c r="K41" s="242">
        <v>2178</v>
      </c>
      <c r="L41" s="242">
        <v>35461.692000000003</v>
      </c>
      <c r="M41" s="242">
        <v>9835.2000000000007</v>
      </c>
      <c r="N41" s="243" t="s">
        <v>180</v>
      </c>
    </row>
    <row r="42" spans="1:14" ht="13.5" thickBot="1" x14ac:dyDescent="0.25">
      <c r="A42" s="244" t="s">
        <v>188</v>
      </c>
      <c r="B42" s="245">
        <v>19967.47</v>
      </c>
      <c r="C42" s="246">
        <v>768.76800000000003</v>
      </c>
      <c r="D42" s="247">
        <v>6332.96</v>
      </c>
      <c r="E42" s="247">
        <v>14403.278000000002</v>
      </c>
      <c r="F42" s="247">
        <v>1546.1599999999999</v>
      </c>
      <c r="G42" s="247"/>
      <c r="H42" s="247">
        <v>1728.02</v>
      </c>
      <c r="I42" s="247">
        <v>24010.418000000001</v>
      </c>
      <c r="J42" s="247">
        <v>7174.31</v>
      </c>
      <c r="K42" s="247">
        <v>2041</v>
      </c>
      <c r="L42" s="247">
        <v>33225.728000000003</v>
      </c>
      <c r="M42" s="247">
        <v>9215.3100000000013</v>
      </c>
      <c r="N42" s="248" t="s">
        <v>188</v>
      </c>
    </row>
  </sheetData>
  <mergeCells count="21">
    <mergeCell ref="A28:A32"/>
    <mergeCell ref="C28:C32"/>
    <mergeCell ref="H28:H32"/>
    <mergeCell ref="K28:K32"/>
    <mergeCell ref="S28:S32"/>
    <mergeCell ref="A13:A20"/>
    <mergeCell ref="C13:C20"/>
    <mergeCell ref="H13:H20"/>
    <mergeCell ref="K13:K20"/>
    <mergeCell ref="S13:S20"/>
    <mergeCell ref="A21:A27"/>
    <mergeCell ref="C21:C27"/>
    <mergeCell ref="H21:H27"/>
    <mergeCell ref="K21:K27"/>
    <mergeCell ref="S21:S27"/>
    <mergeCell ref="S5:S12"/>
    <mergeCell ref="A5:A12"/>
    <mergeCell ref="C5:C12"/>
    <mergeCell ref="H5:H12"/>
    <mergeCell ref="J5:J12"/>
    <mergeCell ref="K5:K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67241-9359-45B6-A7C6-F6CB93E868A1}">
  <sheetPr codeName="Foglio9"/>
  <dimension ref="A1:S41"/>
  <sheetViews>
    <sheetView zoomScaleNormal="100" workbookViewId="0">
      <selection activeCell="I7" sqref="I7"/>
    </sheetView>
  </sheetViews>
  <sheetFormatPr defaultRowHeight="12.75" x14ac:dyDescent="0.2"/>
  <cols>
    <col min="1" max="1" width="15.42578125" style="37" customWidth="1"/>
    <col min="2" max="2" width="16" style="37" customWidth="1"/>
    <col min="3" max="3" width="14.85546875" style="37" customWidth="1"/>
    <col min="4" max="5" width="16.140625" style="37" customWidth="1"/>
    <col min="6" max="6" width="16.85546875" style="37" customWidth="1"/>
    <col min="7" max="7" width="17.140625" style="37" customWidth="1"/>
    <col min="8" max="8" width="6.140625" style="37" customWidth="1"/>
    <col min="9" max="11" width="13.7109375" style="60" customWidth="1"/>
    <col min="12" max="12" width="5.7109375" style="37" customWidth="1"/>
    <col min="13" max="13" width="35" style="37" bestFit="1" customWidth="1"/>
    <col min="14" max="16" width="9.140625" style="37"/>
    <col min="17" max="17" width="9.7109375" style="37" customWidth="1"/>
    <col min="19" max="16384" width="9.140625" style="37"/>
  </cols>
  <sheetData>
    <row r="1" spans="1:19" ht="13.5" thickBot="1" x14ac:dyDescent="0.25">
      <c r="R1" s="37"/>
    </row>
    <row r="2" spans="1:19" ht="18.75" x14ac:dyDescent="0.2">
      <c r="A2" s="51" t="s">
        <v>47</v>
      </c>
      <c r="B2" s="52"/>
      <c r="C2" s="52"/>
      <c r="D2" s="53"/>
      <c r="E2" s="52"/>
      <c r="F2" s="51" t="s">
        <v>80</v>
      </c>
      <c r="G2" s="44"/>
      <c r="M2" s="51" t="s">
        <v>83</v>
      </c>
      <c r="R2" s="37"/>
    </row>
    <row r="3" spans="1:19" x14ac:dyDescent="0.2">
      <c r="A3" s="46" t="s">
        <v>74</v>
      </c>
      <c r="B3" s="38"/>
      <c r="C3" s="38"/>
      <c r="D3" s="45"/>
      <c r="E3" s="38"/>
      <c r="F3" s="54"/>
      <c r="G3" s="55"/>
      <c r="M3" s="46" t="s">
        <v>86</v>
      </c>
      <c r="R3" s="37"/>
    </row>
    <row r="4" spans="1:19" x14ac:dyDescent="0.2">
      <c r="A4" s="47" t="s">
        <v>29</v>
      </c>
      <c r="B4" s="38"/>
      <c r="C4" s="38"/>
      <c r="D4" s="45"/>
      <c r="E4" s="38"/>
      <c r="F4" s="54"/>
      <c r="G4" s="55"/>
      <c r="I4" s="294" t="s">
        <v>99</v>
      </c>
      <c r="J4" s="295"/>
      <c r="K4" s="296"/>
      <c r="R4" s="37"/>
    </row>
    <row r="5" spans="1:19" ht="13.5" thickBot="1" x14ac:dyDescent="0.25">
      <c r="A5" s="48"/>
      <c r="B5" s="49"/>
      <c r="C5" s="49"/>
      <c r="D5" s="50"/>
      <c r="E5" s="49"/>
      <c r="F5" s="56"/>
      <c r="G5" s="57"/>
      <c r="I5" s="291" t="s">
        <v>87</v>
      </c>
      <c r="J5" s="292"/>
      <c r="K5" s="293"/>
      <c r="R5" s="37"/>
    </row>
    <row r="6" spans="1:19" ht="38.25" x14ac:dyDescent="0.2">
      <c r="A6" s="43" t="s">
        <v>28</v>
      </c>
      <c r="B6" s="43" t="s">
        <v>75</v>
      </c>
      <c r="C6" s="43" t="s">
        <v>76</v>
      </c>
      <c r="D6" s="43" t="s">
        <v>77</v>
      </c>
      <c r="E6" s="43" t="s">
        <v>92</v>
      </c>
      <c r="F6" s="43" t="s">
        <v>78</v>
      </c>
      <c r="G6" s="43" t="s">
        <v>96</v>
      </c>
      <c r="H6" s="58"/>
      <c r="I6" s="61" t="s">
        <v>94</v>
      </c>
      <c r="J6" s="61" t="s">
        <v>97</v>
      </c>
      <c r="K6" s="61" t="s">
        <v>98</v>
      </c>
      <c r="M6" s="1" t="s">
        <v>84</v>
      </c>
      <c r="N6" s="1" t="s">
        <v>77</v>
      </c>
      <c r="P6" s="1" t="s">
        <v>89</v>
      </c>
      <c r="Q6" s="1" t="s">
        <v>28</v>
      </c>
      <c r="R6" s="1" t="s">
        <v>90</v>
      </c>
      <c r="S6" s="1" t="s">
        <v>91</v>
      </c>
    </row>
    <row r="7" spans="1:19" ht="14.1" customHeight="1" x14ac:dyDescent="0.2">
      <c r="A7" s="39" t="s">
        <v>50</v>
      </c>
      <c r="B7" s="40">
        <v>37043.120000000003</v>
      </c>
      <c r="C7" s="40">
        <v>37277.120000000003</v>
      </c>
      <c r="D7" s="40">
        <v>37908.32</v>
      </c>
      <c r="E7" s="40">
        <v>0</v>
      </c>
      <c r="F7" s="40"/>
      <c r="G7" s="40">
        <f>D7+F7</f>
        <v>37908.32</v>
      </c>
      <c r="H7" s="59"/>
      <c r="I7" s="65">
        <f>'IVC 2022-24'!B2*12</f>
        <v>113.76</v>
      </c>
      <c r="J7" s="65">
        <f>'IVC 2022-24'!C2*12</f>
        <v>189.60000000000002</v>
      </c>
      <c r="K7" s="65">
        <f>'IVC 2022-24'!D2*12</f>
        <v>189.60000000000002</v>
      </c>
      <c r="M7" s="42" t="s">
        <v>79</v>
      </c>
      <c r="N7" s="40">
        <v>92.6</v>
      </c>
      <c r="P7" s="62" t="s">
        <v>79</v>
      </c>
      <c r="Q7" s="63" t="s">
        <v>50</v>
      </c>
      <c r="R7" s="64">
        <v>3729.17</v>
      </c>
      <c r="S7" s="64">
        <f>R7+VLOOKUP(P7,$M$7:$N$10,2,FALSE)</f>
        <v>3821.77</v>
      </c>
    </row>
    <row r="8" spans="1:19" ht="14.1" customHeight="1" x14ac:dyDescent="0.2">
      <c r="A8" s="39" t="s">
        <v>51</v>
      </c>
      <c r="B8" s="40">
        <v>35943.120000000003</v>
      </c>
      <c r="C8" s="40">
        <v>36177.120000000003</v>
      </c>
      <c r="D8" s="40">
        <v>36808.32</v>
      </c>
      <c r="E8" s="40">
        <v>0</v>
      </c>
      <c r="F8" s="40"/>
      <c r="G8" s="40">
        <f t="shared" ref="G8:G38" si="0">D8+F8</f>
        <v>36808.32</v>
      </c>
      <c r="H8" s="59"/>
      <c r="I8" s="65">
        <f>'IVC 2022-24'!B3*12</f>
        <v>110.39999999999999</v>
      </c>
      <c r="J8" s="65">
        <f>'IVC 2022-24'!C3*12</f>
        <v>184.07999999999998</v>
      </c>
      <c r="K8" s="65">
        <f>'IVC 2022-24'!D3*12</f>
        <v>184.07999999999998</v>
      </c>
      <c r="M8" s="42" t="s">
        <v>48</v>
      </c>
      <c r="N8" s="40">
        <v>72.099999999999994</v>
      </c>
      <c r="P8" s="42" t="s">
        <v>79</v>
      </c>
      <c r="Q8" s="39" t="s">
        <v>51</v>
      </c>
      <c r="R8" s="40">
        <v>3729.17</v>
      </c>
      <c r="S8" s="64">
        <f t="shared" ref="S8:S37" si="1">R8+VLOOKUP(P8,$M$7:$N$10,2,FALSE)</f>
        <v>3821.77</v>
      </c>
    </row>
    <row r="9" spans="1:19" ht="14.1" customHeight="1" x14ac:dyDescent="0.2">
      <c r="A9" s="39" t="s">
        <v>52</v>
      </c>
      <c r="B9" s="40">
        <v>34533.75</v>
      </c>
      <c r="C9" s="40">
        <v>34767.75</v>
      </c>
      <c r="D9" s="40">
        <v>35398.949999999997</v>
      </c>
      <c r="E9" s="40">
        <v>0</v>
      </c>
      <c r="F9" s="40"/>
      <c r="G9" s="40">
        <f t="shared" si="0"/>
        <v>35398.949999999997</v>
      </c>
      <c r="H9" s="59"/>
      <c r="I9" s="65">
        <f>'IVC 2022-24'!B4*12</f>
        <v>106.19999999999999</v>
      </c>
      <c r="J9" s="65">
        <f>'IVC 2022-24'!C4*12</f>
        <v>177</v>
      </c>
      <c r="K9" s="65">
        <f>'IVC 2022-24'!D4*12</f>
        <v>177</v>
      </c>
      <c r="M9" s="42" t="s">
        <v>85</v>
      </c>
      <c r="N9" s="40">
        <v>50.4</v>
      </c>
      <c r="P9" s="42" t="s">
        <v>79</v>
      </c>
      <c r="Q9" s="39" t="s">
        <v>52</v>
      </c>
      <c r="R9" s="40">
        <v>3729.17</v>
      </c>
      <c r="S9" s="64">
        <f t="shared" si="1"/>
        <v>3821.77</v>
      </c>
    </row>
    <row r="10" spans="1:19" ht="14.1" customHeight="1" x14ac:dyDescent="0.2">
      <c r="A10" s="39" t="s">
        <v>53</v>
      </c>
      <c r="B10" s="40">
        <v>33183.85</v>
      </c>
      <c r="C10" s="40">
        <v>33417.85</v>
      </c>
      <c r="D10" s="40">
        <v>34049.050000000003</v>
      </c>
      <c r="E10" s="40">
        <v>0</v>
      </c>
      <c r="F10" s="40"/>
      <c r="G10" s="40">
        <f t="shared" si="0"/>
        <v>34049.050000000003</v>
      </c>
      <c r="H10" s="59"/>
      <c r="I10" s="65">
        <f>'IVC 2022-24'!B5*12</f>
        <v>102.12</v>
      </c>
      <c r="J10" s="65">
        <f>'IVC 2022-24'!C5*12</f>
        <v>170.28</v>
      </c>
      <c r="K10" s="65">
        <f>'IVC 2022-24'!D5*12</f>
        <v>170.28</v>
      </c>
      <c r="M10" s="42" t="s">
        <v>49</v>
      </c>
      <c r="N10" s="40">
        <v>37.1</v>
      </c>
      <c r="P10" s="42" t="s">
        <v>79</v>
      </c>
      <c r="Q10" s="39" t="s">
        <v>53</v>
      </c>
      <c r="R10" s="40">
        <v>3729.17</v>
      </c>
      <c r="S10" s="64">
        <f t="shared" si="1"/>
        <v>3821.77</v>
      </c>
    </row>
    <row r="11" spans="1:19" ht="14.1" customHeight="1" x14ac:dyDescent="0.2">
      <c r="A11" s="39" t="s">
        <v>54</v>
      </c>
      <c r="B11" s="40">
        <v>31727.47</v>
      </c>
      <c r="C11" s="40">
        <v>31961.47</v>
      </c>
      <c r="D11" s="40">
        <v>32592.67</v>
      </c>
      <c r="E11" s="40">
        <v>0</v>
      </c>
      <c r="F11" s="40"/>
      <c r="G11" s="40">
        <f t="shared" si="0"/>
        <v>32592.67</v>
      </c>
      <c r="H11" s="59"/>
      <c r="I11" s="65">
        <f>'IVC 2022-24'!B6*12</f>
        <v>97.800000000000011</v>
      </c>
      <c r="J11" s="65">
        <f>'IVC 2022-24'!C6*12</f>
        <v>162.96</v>
      </c>
      <c r="K11" s="65">
        <f>'IVC 2022-24'!D6*12</f>
        <v>162.96</v>
      </c>
      <c r="P11" s="42" t="s">
        <v>79</v>
      </c>
      <c r="Q11" s="39" t="s">
        <v>54</v>
      </c>
      <c r="R11" s="40">
        <v>3729.17</v>
      </c>
      <c r="S11" s="64">
        <f t="shared" si="1"/>
        <v>3821.77</v>
      </c>
    </row>
    <row r="12" spans="1:19" ht="14.1" customHeight="1" x14ac:dyDescent="0.2">
      <c r="A12" s="39" t="s">
        <v>55</v>
      </c>
      <c r="B12" s="40">
        <v>29343.58</v>
      </c>
      <c r="C12" s="40">
        <v>29577.58</v>
      </c>
      <c r="D12" s="40">
        <v>30208.78</v>
      </c>
      <c r="E12" s="40">
        <v>0</v>
      </c>
      <c r="F12" s="40"/>
      <c r="G12" s="40">
        <f t="shared" si="0"/>
        <v>30208.78</v>
      </c>
      <c r="H12" s="59"/>
      <c r="I12" s="65">
        <f>'IVC 2022-24'!B7*12</f>
        <v>90.6</v>
      </c>
      <c r="J12" s="65">
        <f>'IVC 2022-24'!C7*12</f>
        <v>151.07999999999998</v>
      </c>
      <c r="K12" s="65">
        <f>'IVC 2022-24'!D7*12</f>
        <v>151.07999999999998</v>
      </c>
      <c r="P12" s="42" t="s">
        <v>79</v>
      </c>
      <c r="Q12" s="39" t="s">
        <v>55</v>
      </c>
      <c r="R12" s="40">
        <v>2816.8</v>
      </c>
      <c r="S12" s="64">
        <f t="shared" si="1"/>
        <v>2909.4</v>
      </c>
    </row>
    <row r="13" spans="1:19" ht="14.1" customHeight="1" x14ac:dyDescent="0.2">
      <c r="A13" s="39" t="s">
        <v>56</v>
      </c>
      <c r="B13" s="40">
        <v>27728.240000000002</v>
      </c>
      <c r="C13" s="40">
        <v>27962.240000000002</v>
      </c>
      <c r="D13" s="40">
        <v>28593.439999999999</v>
      </c>
      <c r="E13" s="40">
        <v>0</v>
      </c>
      <c r="F13" s="40"/>
      <c r="G13" s="40">
        <f t="shared" si="0"/>
        <v>28593.439999999999</v>
      </c>
      <c r="H13" s="59"/>
      <c r="I13" s="65">
        <f>'IVC 2022-24'!B8*12</f>
        <v>85.800000000000011</v>
      </c>
      <c r="J13" s="65">
        <f>'IVC 2022-24'!C8*12</f>
        <v>142.92000000000002</v>
      </c>
      <c r="K13" s="65">
        <f>'IVC 2022-24'!D8*12</f>
        <v>142.92000000000002</v>
      </c>
      <c r="P13" s="42" t="s">
        <v>79</v>
      </c>
      <c r="Q13" s="39" t="s">
        <v>56</v>
      </c>
      <c r="R13" s="40">
        <v>2816.8</v>
      </c>
      <c r="S13" s="64">
        <f t="shared" si="1"/>
        <v>2909.4</v>
      </c>
    </row>
    <row r="14" spans="1:19" ht="14.1" customHeight="1" x14ac:dyDescent="0.2">
      <c r="A14" s="39" t="s">
        <v>57</v>
      </c>
      <c r="B14" s="40">
        <v>26024.85</v>
      </c>
      <c r="C14" s="40">
        <v>26258.85</v>
      </c>
      <c r="D14" s="40">
        <v>26890.05</v>
      </c>
      <c r="E14" s="40">
        <v>0</v>
      </c>
      <c r="F14" s="40"/>
      <c r="G14" s="40">
        <f t="shared" si="0"/>
        <v>26890.05</v>
      </c>
      <c r="H14" s="59"/>
      <c r="I14" s="65">
        <f>'IVC 2022-24'!B9*12</f>
        <v>80.64</v>
      </c>
      <c r="J14" s="65">
        <f>'IVC 2022-24'!C9*12</f>
        <v>134.39999999999998</v>
      </c>
      <c r="K14" s="65">
        <f>'IVC 2022-24'!D9*12</f>
        <v>134.39999999999998</v>
      </c>
      <c r="P14" s="42" t="s">
        <v>79</v>
      </c>
      <c r="Q14" s="39" t="s">
        <v>57</v>
      </c>
      <c r="R14" s="40">
        <v>2816.8</v>
      </c>
      <c r="S14" s="64">
        <f t="shared" si="1"/>
        <v>2909.4</v>
      </c>
    </row>
    <row r="15" spans="1:19" ht="14.1" customHeight="1" x14ac:dyDescent="0.2">
      <c r="A15" s="39" t="s">
        <v>58</v>
      </c>
      <c r="B15" s="40">
        <v>30310.86</v>
      </c>
      <c r="C15" s="40">
        <v>30513.66</v>
      </c>
      <c r="D15" s="40">
        <v>31062.06</v>
      </c>
      <c r="E15" s="40">
        <v>0</v>
      </c>
      <c r="F15" s="40"/>
      <c r="G15" s="40">
        <f t="shared" si="0"/>
        <v>31062.06</v>
      </c>
      <c r="H15" s="59"/>
      <c r="I15" s="65">
        <f>'IVC 2022-24'!B10*12</f>
        <v>93.24</v>
      </c>
      <c r="J15" s="65">
        <f>'IVC 2022-24'!C10*12</f>
        <v>155.28</v>
      </c>
      <c r="K15" s="65">
        <f>'IVC 2022-24'!D10*12</f>
        <v>155.28</v>
      </c>
      <c r="P15" s="42" t="s">
        <v>48</v>
      </c>
      <c r="Q15" s="39" t="s">
        <v>58</v>
      </c>
      <c r="R15" s="40">
        <v>2350.06</v>
      </c>
      <c r="S15" s="64">
        <f t="shared" si="1"/>
        <v>2422.16</v>
      </c>
    </row>
    <row r="16" spans="1:19" ht="14.1" customHeight="1" x14ac:dyDescent="0.2">
      <c r="A16" s="39" t="s">
        <v>59</v>
      </c>
      <c r="B16" s="40">
        <v>29410.86</v>
      </c>
      <c r="C16" s="40">
        <v>29613.66</v>
      </c>
      <c r="D16" s="40">
        <v>30162.06</v>
      </c>
      <c r="E16" s="40">
        <v>0</v>
      </c>
      <c r="F16" s="40"/>
      <c r="G16" s="40">
        <f t="shared" si="0"/>
        <v>30162.06</v>
      </c>
      <c r="H16" s="59"/>
      <c r="I16" s="65">
        <f>'IVC 2022-24'!B11*12</f>
        <v>90.48</v>
      </c>
      <c r="J16" s="65">
        <f>'IVC 2022-24'!C11*12</f>
        <v>150.84</v>
      </c>
      <c r="K16" s="65">
        <f>'IVC 2022-24'!D11*12</f>
        <v>150.84</v>
      </c>
      <c r="P16" s="42" t="s">
        <v>48</v>
      </c>
      <c r="Q16" s="39" t="s">
        <v>59</v>
      </c>
      <c r="R16" s="40">
        <v>2350.06</v>
      </c>
      <c r="S16" s="64">
        <f t="shared" si="1"/>
        <v>2422.16</v>
      </c>
    </row>
    <row r="17" spans="1:19" ht="14.1" customHeight="1" x14ac:dyDescent="0.2">
      <c r="A17" s="39" t="s">
        <v>60</v>
      </c>
      <c r="B17" s="40">
        <v>28354.48</v>
      </c>
      <c r="C17" s="40">
        <v>28557.279999999999</v>
      </c>
      <c r="D17" s="40">
        <v>29105.68</v>
      </c>
      <c r="E17" s="40">
        <v>0</v>
      </c>
      <c r="F17" s="40"/>
      <c r="G17" s="40">
        <f t="shared" si="0"/>
        <v>29105.68</v>
      </c>
      <c r="H17" s="59"/>
      <c r="I17" s="65">
        <f>'IVC 2022-24'!B12*12</f>
        <v>87.36</v>
      </c>
      <c r="J17" s="65">
        <f>'IVC 2022-24'!C12*12</f>
        <v>145.56</v>
      </c>
      <c r="K17" s="65">
        <f>'IVC 2022-24'!D12*12</f>
        <v>145.56</v>
      </c>
      <c r="P17" s="42" t="s">
        <v>48</v>
      </c>
      <c r="Q17" s="39" t="s">
        <v>60</v>
      </c>
      <c r="R17" s="40">
        <v>2350.06</v>
      </c>
      <c r="S17" s="64">
        <f t="shared" si="1"/>
        <v>2422.16</v>
      </c>
    </row>
    <row r="18" spans="1:19" ht="14.1" customHeight="1" x14ac:dyDescent="0.2">
      <c r="A18" s="39" t="s">
        <v>61</v>
      </c>
      <c r="B18" s="40">
        <v>27340.5</v>
      </c>
      <c r="C18" s="40">
        <v>27543.3</v>
      </c>
      <c r="D18" s="40">
        <v>28091.7</v>
      </c>
      <c r="E18" s="40">
        <v>0</v>
      </c>
      <c r="F18" s="40"/>
      <c r="G18" s="40">
        <f t="shared" si="0"/>
        <v>28091.7</v>
      </c>
      <c r="H18" s="59"/>
      <c r="I18" s="65">
        <f>'IVC 2022-24'!B13*12</f>
        <v>84.24</v>
      </c>
      <c r="J18" s="65">
        <f>'IVC 2022-24'!C13*12</f>
        <v>140.39999999999998</v>
      </c>
      <c r="K18" s="65">
        <f>'IVC 2022-24'!D13*12</f>
        <v>140.39999999999998</v>
      </c>
      <c r="P18" s="42" t="s">
        <v>48</v>
      </c>
      <c r="Q18" s="39" t="s">
        <v>61</v>
      </c>
      <c r="R18" s="40">
        <v>2350.06</v>
      </c>
      <c r="S18" s="64">
        <f t="shared" si="1"/>
        <v>2422.16</v>
      </c>
    </row>
    <row r="19" spans="1:19" ht="14.1" customHeight="1" x14ac:dyDescent="0.2">
      <c r="A19" s="39" t="s">
        <v>62</v>
      </c>
      <c r="B19" s="40">
        <v>26372.28</v>
      </c>
      <c r="C19" s="40">
        <v>26575.08</v>
      </c>
      <c r="D19" s="40">
        <v>27123.48</v>
      </c>
      <c r="E19" s="40">
        <v>0</v>
      </c>
      <c r="F19" s="40"/>
      <c r="G19" s="40">
        <f t="shared" si="0"/>
        <v>27123.48</v>
      </c>
      <c r="H19" s="59"/>
      <c r="I19" s="65">
        <f>'IVC 2022-24'!B14*12</f>
        <v>81.36</v>
      </c>
      <c r="J19" s="65">
        <f>'IVC 2022-24'!C14*12</f>
        <v>135.60000000000002</v>
      </c>
      <c r="K19" s="65">
        <f>'IVC 2022-24'!D14*12</f>
        <v>135.60000000000002</v>
      </c>
      <c r="P19" s="42" t="s">
        <v>48</v>
      </c>
      <c r="Q19" s="39" t="s">
        <v>62</v>
      </c>
      <c r="R19" s="40">
        <v>2350.06</v>
      </c>
      <c r="S19" s="64">
        <f t="shared" si="1"/>
        <v>2422.16</v>
      </c>
    </row>
    <row r="20" spans="1:19" ht="14.1" customHeight="1" x14ac:dyDescent="0.2">
      <c r="A20" s="39" t="s">
        <v>63</v>
      </c>
      <c r="B20" s="40">
        <v>25060.73</v>
      </c>
      <c r="C20" s="40">
        <v>25263.53</v>
      </c>
      <c r="D20" s="40">
        <v>25811.93</v>
      </c>
      <c r="E20" s="40">
        <v>0</v>
      </c>
      <c r="F20" s="40"/>
      <c r="G20" s="40">
        <f t="shared" si="0"/>
        <v>25811.93</v>
      </c>
      <c r="H20" s="59"/>
      <c r="I20" s="65">
        <f>'IVC 2022-24'!B15*12</f>
        <v>77.400000000000006</v>
      </c>
      <c r="J20" s="65">
        <f>'IVC 2022-24'!C15*12</f>
        <v>129</v>
      </c>
      <c r="K20" s="65">
        <f>'IVC 2022-24'!D15*12</f>
        <v>129</v>
      </c>
      <c r="P20" s="42" t="s">
        <v>48</v>
      </c>
      <c r="Q20" s="39" t="s">
        <v>63</v>
      </c>
      <c r="R20" s="40">
        <v>2350.06</v>
      </c>
      <c r="S20" s="64">
        <f t="shared" si="1"/>
        <v>2422.16</v>
      </c>
    </row>
    <row r="21" spans="1:19" ht="14.1" customHeight="1" x14ac:dyDescent="0.2">
      <c r="A21" s="39" t="s">
        <v>64</v>
      </c>
      <c r="B21" s="40">
        <v>23985.759999999998</v>
      </c>
      <c r="C21" s="40">
        <v>24188.560000000001</v>
      </c>
      <c r="D21" s="40">
        <v>24736.959999999999</v>
      </c>
      <c r="E21" s="40">
        <v>84</v>
      </c>
      <c r="F21" s="40">
        <v>74.400000000000006</v>
      </c>
      <c r="G21" s="40">
        <f t="shared" si="0"/>
        <v>24811.360000000001</v>
      </c>
      <c r="H21" s="59"/>
      <c r="I21" s="65">
        <f>'IVC 2022-24'!B16*12</f>
        <v>74.16</v>
      </c>
      <c r="J21" s="65">
        <f>'IVC 2022-24'!C16*12</f>
        <v>123.72</v>
      </c>
      <c r="K21" s="65">
        <f>'IVC 2022-24'!D16*12</f>
        <v>124.08</v>
      </c>
      <c r="M21" s="59"/>
      <c r="P21" s="42" t="s">
        <v>48</v>
      </c>
      <c r="Q21" s="39" t="s">
        <v>64</v>
      </c>
      <c r="R21" s="40">
        <v>2350.06</v>
      </c>
      <c r="S21" s="64">
        <f t="shared" si="1"/>
        <v>2422.16</v>
      </c>
    </row>
    <row r="22" spans="1:19" ht="14.1" customHeight="1" x14ac:dyDescent="0.2">
      <c r="A22" s="39" t="s">
        <v>65</v>
      </c>
      <c r="B22" s="40">
        <v>23055.63</v>
      </c>
      <c r="C22" s="40">
        <v>23258.43</v>
      </c>
      <c r="D22" s="40">
        <v>23806.83</v>
      </c>
      <c r="E22" s="40">
        <v>108</v>
      </c>
      <c r="F22" s="40">
        <v>95.64</v>
      </c>
      <c r="G22" s="40">
        <f t="shared" si="0"/>
        <v>23902.47</v>
      </c>
      <c r="H22" s="59"/>
      <c r="I22" s="65">
        <f>'IVC 2022-24'!B17*12</f>
        <v>71.400000000000006</v>
      </c>
      <c r="J22" s="65">
        <f>'IVC 2022-24'!C17*12</f>
        <v>119.03999999999999</v>
      </c>
      <c r="K22" s="65">
        <f>'IVC 2022-24'!D17*12</f>
        <v>119.52000000000001</v>
      </c>
      <c r="P22" s="42" t="s">
        <v>48</v>
      </c>
      <c r="Q22" s="39" t="s">
        <v>65</v>
      </c>
      <c r="R22" s="40">
        <v>2350.06</v>
      </c>
      <c r="S22" s="64">
        <f t="shared" si="1"/>
        <v>2422.16</v>
      </c>
    </row>
    <row r="23" spans="1:19" ht="14.1" customHeight="1" x14ac:dyDescent="0.2">
      <c r="A23" s="39" t="s">
        <v>66</v>
      </c>
      <c r="B23" s="40">
        <v>25126.46</v>
      </c>
      <c r="C23" s="40">
        <v>25301.66</v>
      </c>
      <c r="D23" s="40">
        <v>25774.46</v>
      </c>
      <c r="E23" s="40">
        <v>0</v>
      </c>
      <c r="F23" s="40"/>
      <c r="G23" s="40">
        <f t="shared" si="0"/>
        <v>25774.46</v>
      </c>
      <c r="H23" s="59"/>
      <c r="I23" s="65">
        <f>'IVC 2022-24'!B18*12</f>
        <v>77.28</v>
      </c>
      <c r="J23" s="65">
        <f>'IVC 2022-24'!C18*12</f>
        <v>128.88</v>
      </c>
      <c r="K23" s="65">
        <f>'IVC 2022-24'!D18*12</f>
        <v>128.88</v>
      </c>
      <c r="P23" s="42" t="s">
        <v>85</v>
      </c>
      <c r="Q23" s="39" t="s">
        <v>66</v>
      </c>
      <c r="R23" s="40">
        <v>1643.57</v>
      </c>
      <c r="S23" s="64">
        <f t="shared" si="1"/>
        <v>1693.97</v>
      </c>
    </row>
    <row r="24" spans="1:19" ht="14.1" customHeight="1" x14ac:dyDescent="0.2">
      <c r="A24" s="39" t="s">
        <v>67</v>
      </c>
      <c r="B24" s="40">
        <v>24326.46</v>
      </c>
      <c r="C24" s="40">
        <v>24501.66</v>
      </c>
      <c r="D24" s="40">
        <v>24974.46</v>
      </c>
      <c r="E24" s="40">
        <v>60</v>
      </c>
      <c r="F24" s="40">
        <v>53.16</v>
      </c>
      <c r="G24" s="40">
        <f t="shared" si="0"/>
        <v>25027.62</v>
      </c>
      <c r="H24" s="59"/>
      <c r="I24" s="65">
        <f>'IVC 2022-24'!B19*12</f>
        <v>74.88</v>
      </c>
      <c r="J24" s="65">
        <f>'IVC 2022-24'!C19*12</f>
        <v>124.92</v>
      </c>
      <c r="K24" s="65">
        <f>'IVC 2022-24'!D19*12</f>
        <v>125.16</v>
      </c>
      <c r="P24" s="42" t="s">
        <v>85</v>
      </c>
      <c r="Q24" s="39" t="s">
        <v>67</v>
      </c>
      <c r="R24" s="40">
        <v>1643.57</v>
      </c>
      <c r="S24" s="64">
        <f t="shared" si="1"/>
        <v>1693.97</v>
      </c>
    </row>
    <row r="25" spans="1:19" ht="14.1" customHeight="1" x14ac:dyDescent="0.2">
      <c r="A25" s="39" t="s">
        <v>68</v>
      </c>
      <c r="B25" s="40">
        <v>23537.16</v>
      </c>
      <c r="C25" s="40">
        <v>23712.36</v>
      </c>
      <c r="D25" s="40">
        <v>24185.16</v>
      </c>
      <c r="E25" s="40">
        <v>96</v>
      </c>
      <c r="F25" s="40">
        <v>84.96</v>
      </c>
      <c r="G25" s="40">
        <f t="shared" si="0"/>
        <v>24270.12</v>
      </c>
      <c r="H25" s="59"/>
      <c r="I25" s="65">
        <f>'IVC 2022-24'!B20*12</f>
        <v>72.599999999999994</v>
      </c>
      <c r="J25" s="65">
        <f>'IVC 2022-24'!C20*12</f>
        <v>120.96000000000001</v>
      </c>
      <c r="K25" s="65">
        <f>'IVC 2022-24'!D20*12</f>
        <v>121.32</v>
      </c>
      <c r="P25" s="42" t="s">
        <v>85</v>
      </c>
      <c r="Q25" s="39" t="s">
        <v>68</v>
      </c>
      <c r="R25" s="40">
        <v>1643.57</v>
      </c>
      <c r="S25" s="64">
        <f t="shared" si="1"/>
        <v>1693.97</v>
      </c>
    </row>
    <row r="26" spans="1:19" ht="14.1" customHeight="1" x14ac:dyDescent="0.2">
      <c r="A26" s="39" t="s">
        <v>69</v>
      </c>
      <c r="B26" s="40">
        <v>22776.12</v>
      </c>
      <c r="C26" s="40">
        <v>22951.32</v>
      </c>
      <c r="D26" s="40">
        <v>23424.12</v>
      </c>
      <c r="E26" s="40">
        <v>120</v>
      </c>
      <c r="F26" s="40">
        <v>106.2</v>
      </c>
      <c r="G26" s="40">
        <f t="shared" si="0"/>
        <v>23530.32</v>
      </c>
      <c r="H26" s="59"/>
      <c r="I26" s="65">
        <f>'IVC 2022-24'!B21*12</f>
        <v>70.320000000000007</v>
      </c>
      <c r="J26" s="65">
        <f>'IVC 2022-24'!C21*12</f>
        <v>117.12</v>
      </c>
      <c r="K26" s="65">
        <f>'IVC 2022-24'!D21*12</f>
        <v>117.60000000000001</v>
      </c>
      <c r="P26" s="42" t="s">
        <v>85</v>
      </c>
      <c r="Q26" s="39" t="s">
        <v>69</v>
      </c>
      <c r="R26" s="40">
        <v>1643.57</v>
      </c>
      <c r="S26" s="64">
        <f t="shared" si="1"/>
        <v>1693.97</v>
      </c>
    </row>
    <row r="27" spans="1:19" ht="14.1" customHeight="1" x14ac:dyDescent="0.2">
      <c r="A27" s="39" t="s">
        <v>70</v>
      </c>
      <c r="B27" s="40">
        <v>22044.959999999999</v>
      </c>
      <c r="C27" s="40">
        <v>22220.16</v>
      </c>
      <c r="D27" s="40">
        <v>22692.959999999999</v>
      </c>
      <c r="E27" s="40">
        <v>156</v>
      </c>
      <c r="F27" s="40">
        <v>138.12</v>
      </c>
      <c r="G27" s="40">
        <f t="shared" si="0"/>
        <v>22831.079999999998</v>
      </c>
      <c r="H27" s="59"/>
      <c r="I27" s="65">
        <f>'IVC 2022-24'!B22*12</f>
        <v>68.039999999999992</v>
      </c>
      <c r="J27" s="65">
        <f>'IVC 2022-24'!C22*12</f>
        <v>113.52000000000001</v>
      </c>
      <c r="K27" s="65">
        <f>'IVC 2022-24'!D22*12</f>
        <v>114.12</v>
      </c>
      <c r="P27" s="42" t="s">
        <v>85</v>
      </c>
      <c r="Q27" s="39" t="s">
        <v>70</v>
      </c>
      <c r="R27" s="40">
        <v>1643.57</v>
      </c>
      <c r="S27" s="64">
        <f t="shared" si="1"/>
        <v>1693.97</v>
      </c>
    </row>
    <row r="28" spans="1:19" ht="14.1" customHeight="1" x14ac:dyDescent="0.2">
      <c r="A28" s="39" t="s">
        <v>71</v>
      </c>
      <c r="B28" s="40">
        <v>20935.080000000002</v>
      </c>
      <c r="C28" s="40">
        <v>21110.28</v>
      </c>
      <c r="D28" s="40">
        <v>21583.08</v>
      </c>
      <c r="E28" s="40">
        <v>192</v>
      </c>
      <c r="F28" s="40">
        <v>169.92</v>
      </c>
      <c r="G28" s="40">
        <f t="shared" si="0"/>
        <v>21753</v>
      </c>
      <c r="H28" s="59"/>
      <c r="I28" s="65">
        <f>'IVC 2022-24'!B23*12</f>
        <v>64.800000000000011</v>
      </c>
      <c r="J28" s="65">
        <f>'IVC 2022-24'!C23*12</f>
        <v>107.88</v>
      </c>
      <c r="K28" s="65">
        <f>'IVC 2022-24'!D23*12</f>
        <v>108.72</v>
      </c>
      <c r="P28" s="42" t="s">
        <v>85</v>
      </c>
      <c r="Q28" s="39" t="s">
        <v>71</v>
      </c>
      <c r="R28" s="40">
        <v>1643.57</v>
      </c>
      <c r="S28" s="64">
        <f t="shared" si="1"/>
        <v>1693.97</v>
      </c>
    </row>
    <row r="29" spans="1:19" ht="14.1" customHeight="1" x14ac:dyDescent="0.2">
      <c r="A29" s="39" t="s">
        <v>72</v>
      </c>
      <c r="B29" s="40">
        <v>20102.759999999998</v>
      </c>
      <c r="C29" s="40">
        <v>20277.96</v>
      </c>
      <c r="D29" s="40">
        <v>20750.759999999998</v>
      </c>
      <c r="E29" s="40">
        <v>228</v>
      </c>
      <c r="F29" s="40">
        <v>201.84</v>
      </c>
      <c r="G29" s="40">
        <f t="shared" si="0"/>
        <v>20952.599999999999</v>
      </c>
      <c r="H29" s="59"/>
      <c r="I29" s="65">
        <f>'IVC 2022-24'!B24*12</f>
        <v>62.28</v>
      </c>
      <c r="J29" s="65">
        <f>'IVC 2022-24'!C24*12</f>
        <v>103.80000000000001</v>
      </c>
      <c r="K29" s="65">
        <f>'IVC 2022-24'!D24*12</f>
        <v>104.76</v>
      </c>
      <c r="P29" s="42" t="s">
        <v>85</v>
      </c>
      <c r="Q29" s="39" t="s">
        <v>72</v>
      </c>
      <c r="R29" s="40">
        <v>1643.57</v>
      </c>
      <c r="S29" s="64">
        <f t="shared" si="1"/>
        <v>1693.97</v>
      </c>
    </row>
    <row r="30" spans="1:19" ht="14.1" customHeight="1" x14ac:dyDescent="0.2">
      <c r="A30" s="39" t="s">
        <v>73</v>
      </c>
      <c r="B30" s="40">
        <v>19706.2</v>
      </c>
      <c r="C30" s="40">
        <v>19881.400000000001</v>
      </c>
      <c r="D30" s="40">
        <v>20354.2</v>
      </c>
      <c r="E30" s="40">
        <v>240</v>
      </c>
      <c r="F30" s="40">
        <v>212.4</v>
      </c>
      <c r="G30" s="40">
        <f t="shared" si="0"/>
        <v>20566.600000000002</v>
      </c>
      <c r="H30" s="59"/>
      <c r="I30" s="65">
        <f>'IVC 2022-24'!B25*12</f>
        <v>61.08</v>
      </c>
      <c r="J30" s="65">
        <f>'IVC 2022-24'!C25*12</f>
        <v>101.76</v>
      </c>
      <c r="K30" s="65">
        <f>'IVC 2022-24'!D25*12</f>
        <v>102.84</v>
      </c>
      <c r="P30" s="42" t="s">
        <v>85</v>
      </c>
      <c r="Q30" s="39" t="s">
        <v>73</v>
      </c>
      <c r="R30" s="40">
        <v>1643.57</v>
      </c>
      <c r="S30" s="64">
        <f t="shared" si="1"/>
        <v>1693.97</v>
      </c>
    </row>
    <row r="31" spans="1:19" ht="14.1" customHeight="1" x14ac:dyDescent="0.2">
      <c r="A31" s="41" t="s">
        <v>31</v>
      </c>
      <c r="B31" s="40">
        <v>22321.119999999999</v>
      </c>
      <c r="C31" s="40">
        <v>22485.52</v>
      </c>
      <c r="D31" s="40">
        <v>22930.720000000001</v>
      </c>
      <c r="E31" s="40">
        <v>0</v>
      </c>
      <c r="F31" s="40"/>
      <c r="G31" s="40">
        <f t="shared" si="0"/>
        <v>22930.720000000001</v>
      </c>
      <c r="H31" s="59"/>
      <c r="I31" s="65">
        <f>'IVC 2022-24'!B26*12</f>
        <v>68.760000000000005</v>
      </c>
      <c r="J31" s="65">
        <f>'IVC 2022-24'!C26*12</f>
        <v>114.60000000000001</v>
      </c>
      <c r="K31" s="65">
        <f>'IVC 2022-24'!D26*12</f>
        <v>114.60000000000001</v>
      </c>
      <c r="P31" s="42" t="s">
        <v>49</v>
      </c>
      <c r="Q31" s="41" t="s">
        <v>31</v>
      </c>
      <c r="R31" s="40">
        <v>1209.06</v>
      </c>
      <c r="S31" s="64">
        <f t="shared" si="1"/>
        <v>1246.1599999999999</v>
      </c>
    </row>
    <row r="32" spans="1:19" ht="14.1" customHeight="1" x14ac:dyDescent="0.2">
      <c r="A32" s="41" t="s">
        <v>21</v>
      </c>
      <c r="B32" s="40">
        <v>21621.119999999999</v>
      </c>
      <c r="C32" s="40">
        <v>21785.52</v>
      </c>
      <c r="D32" s="40">
        <v>22230.720000000001</v>
      </c>
      <c r="E32" s="40">
        <v>168</v>
      </c>
      <c r="F32" s="40">
        <v>148.68</v>
      </c>
      <c r="G32" s="40">
        <f t="shared" si="0"/>
        <v>22379.4</v>
      </c>
      <c r="H32" s="59"/>
      <c r="I32" s="65">
        <f>'IVC 2022-24'!B27*12</f>
        <v>66.72</v>
      </c>
      <c r="J32" s="65">
        <f>'IVC 2022-24'!C27*12</f>
        <v>111.12</v>
      </c>
      <c r="K32" s="65">
        <f>'IVC 2022-24'!D27*12</f>
        <v>111.84</v>
      </c>
      <c r="P32" s="42" t="s">
        <v>49</v>
      </c>
      <c r="Q32" s="41" t="s">
        <v>21</v>
      </c>
      <c r="R32" s="40">
        <v>1209.06</v>
      </c>
      <c r="S32" s="64">
        <f t="shared" si="1"/>
        <v>1246.1599999999999</v>
      </c>
    </row>
    <row r="33" spans="1:19" ht="14.1" customHeight="1" x14ac:dyDescent="0.2">
      <c r="A33" s="41" t="s">
        <v>22</v>
      </c>
      <c r="B33" s="40">
        <v>20794.02</v>
      </c>
      <c r="C33" s="40">
        <v>20958.419999999998</v>
      </c>
      <c r="D33" s="40">
        <v>21403.62</v>
      </c>
      <c r="E33" s="40">
        <v>204</v>
      </c>
      <c r="F33" s="40">
        <v>180.6</v>
      </c>
      <c r="G33" s="40">
        <f t="shared" si="0"/>
        <v>21584.219999999998</v>
      </c>
      <c r="H33" s="59"/>
      <c r="I33" s="65">
        <f>'IVC 2022-24'!B28*12</f>
        <v>64.199999999999989</v>
      </c>
      <c r="J33" s="65">
        <f>'IVC 2022-24'!C28*12</f>
        <v>107.03999999999999</v>
      </c>
      <c r="K33" s="65">
        <f>'IVC 2022-24'!D28*12</f>
        <v>107.88</v>
      </c>
      <c r="P33" s="42" t="s">
        <v>49</v>
      </c>
      <c r="Q33" s="41" t="s">
        <v>22</v>
      </c>
      <c r="R33" s="40">
        <v>1209.06</v>
      </c>
      <c r="S33" s="64">
        <f t="shared" si="1"/>
        <v>1246.1599999999999</v>
      </c>
    </row>
    <row r="34" spans="1:19" ht="14.1" customHeight="1" x14ac:dyDescent="0.2">
      <c r="A34" s="41" t="s">
        <v>23</v>
      </c>
      <c r="B34" s="40">
        <v>20001.64</v>
      </c>
      <c r="C34" s="40">
        <v>20166.04</v>
      </c>
      <c r="D34" s="40">
        <v>20611.240000000002</v>
      </c>
      <c r="E34" s="40">
        <v>228</v>
      </c>
      <c r="F34" s="40">
        <v>201.84</v>
      </c>
      <c r="G34" s="40">
        <f t="shared" si="0"/>
        <v>20813.080000000002</v>
      </c>
      <c r="H34" s="59"/>
      <c r="I34" s="65">
        <f>'IVC 2022-24'!B29*12</f>
        <v>61.800000000000004</v>
      </c>
      <c r="J34" s="65">
        <f>'IVC 2022-24'!C29*12</f>
        <v>103.08</v>
      </c>
      <c r="K34" s="65">
        <f>'IVC 2022-24'!D29*12</f>
        <v>104.03999999999999</v>
      </c>
      <c r="P34" s="42" t="s">
        <v>49</v>
      </c>
      <c r="Q34" s="41" t="s">
        <v>23</v>
      </c>
      <c r="R34" s="40">
        <v>1209.06</v>
      </c>
      <c r="S34" s="64">
        <f t="shared" si="1"/>
        <v>1246.1599999999999</v>
      </c>
    </row>
    <row r="35" spans="1:19" ht="14.1" customHeight="1" x14ac:dyDescent="0.2">
      <c r="A35" s="41" t="s">
        <v>24</v>
      </c>
      <c r="B35" s="40">
        <v>19124.23</v>
      </c>
      <c r="C35" s="40">
        <v>19288.63</v>
      </c>
      <c r="D35" s="40">
        <v>19733.830000000002</v>
      </c>
      <c r="E35" s="40">
        <v>264</v>
      </c>
      <c r="F35" s="40">
        <v>233.64</v>
      </c>
      <c r="G35" s="40">
        <f t="shared" si="0"/>
        <v>19967.47</v>
      </c>
      <c r="H35" s="59"/>
      <c r="I35" s="65">
        <f>'IVC 2022-24'!B30*12</f>
        <v>59.16</v>
      </c>
      <c r="J35" s="65">
        <f>'IVC 2022-24'!C30*12</f>
        <v>98.640000000000015</v>
      </c>
      <c r="K35" s="65">
        <f>'IVC 2022-24'!D30*12</f>
        <v>99.84</v>
      </c>
      <c r="P35" s="42" t="s">
        <v>49</v>
      </c>
      <c r="Q35" s="41" t="s">
        <v>24</v>
      </c>
      <c r="R35" s="40">
        <v>1209.06</v>
      </c>
      <c r="S35" s="64">
        <f t="shared" si="1"/>
        <v>1246.1599999999999</v>
      </c>
    </row>
    <row r="36" spans="1:19" ht="14.1" customHeight="1" x14ac:dyDescent="0.2">
      <c r="A36" s="41" t="s">
        <v>25</v>
      </c>
      <c r="B36" s="40">
        <v>18287.349999999999</v>
      </c>
      <c r="C36" s="40">
        <v>18451.75</v>
      </c>
      <c r="D36" s="40">
        <v>18896.95</v>
      </c>
      <c r="E36" s="40">
        <v>300</v>
      </c>
      <c r="F36" s="40">
        <v>265.56</v>
      </c>
      <c r="G36" s="40">
        <f t="shared" si="0"/>
        <v>19162.510000000002</v>
      </c>
      <c r="H36" s="59"/>
      <c r="I36" s="65">
        <f>'IVC 2022-24'!B31*12</f>
        <v>56.64</v>
      </c>
      <c r="J36" s="65">
        <f>'IVC 2022-24'!C31*12</f>
        <v>94.44</v>
      </c>
      <c r="K36" s="65">
        <f>'IVC 2022-24'!D31*12</f>
        <v>95.76</v>
      </c>
      <c r="P36" s="42" t="s">
        <v>49</v>
      </c>
      <c r="Q36" s="41" t="s">
        <v>25</v>
      </c>
      <c r="R36" s="40">
        <v>1209.06</v>
      </c>
      <c r="S36" s="64">
        <f t="shared" si="1"/>
        <v>1246.1599999999999</v>
      </c>
    </row>
    <row r="37" spans="1:19" ht="14.1" customHeight="1" x14ac:dyDescent="0.2">
      <c r="A37" s="41" t="s">
        <v>26</v>
      </c>
      <c r="B37" s="40">
        <v>17167.7</v>
      </c>
      <c r="C37" s="40">
        <v>17332.099999999999</v>
      </c>
      <c r="D37" s="40">
        <v>17777.3</v>
      </c>
      <c r="E37" s="40">
        <v>336</v>
      </c>
      <c r="F37" s="40">
        <v>297.48</v>
      </c>
      <c r="G37" s="40">
        <f t="shared" si="0"/>
        <v>18074.78</v>
      </c>
      <c r="H37" s="59"/>
      <c r="I37" s="65">
        <f>'IVC 2022-24'!B32*12</f>
        <v>53.28</v>
      </c>
      <c r="J37" s="65">
        <f>'IVC 2022-24'!C32*12</f>
        <v>88.92</v>
      </c>
      <c r="K37" s="65">
        <f>'IVC 2022-24'!D32*12</f>
        <v>90.36</v>
      </c>
      <c r="P37" s="42" t="s">
        <v>49</v>
      </c>
      <c r="Q37" s="41" t="s">
        <v>26</v>
      </c>
      <c r="R37" s="40">
        <v>1209.06</v>
      </c>
      <c r="S37" s="64">
        <f t="shared" si="1"/>
        <v>1246.1599999999999</v>
      </c>
    </row>
    <row r="38" spans="1:19" ht="14.1" customHeight="1" x14ac:dyDescent="0.2">
      <c r="A38" s="42" t="s">
        <v>30</v>
      </c>
      <c r="B38" s="40">
        <v>15221.94</v>
      </c>
      <c r="C38" s="40">
        <v>15321.54</v>
      </c>
      <c r="D38" s="40">
        <v>15628.74</v>
      </c>
      <c r="E38" s="40"/>
      <c r="F38" s="40">
        <v>26.56</v>
      </c>
      <c r="G38" s="40">
        <f t="shared" si="0"/>
        <v>15655.3</v>
      </c>
      <c r="H38" s="59"/>
      <c r="R38" s="37"/>
    </row>
    <row r="40" spans="1:19" x14ac:dyDescent="0.2">
      <c r="F40" t="s">
        <v>81</v>
      </c>
      <c r="R40" s="37"/>
    </row>
    <row r="41" spans="1:19" x14ac:dyDescent="0.2">
      <c r="F41" t="s">
        <v>82</v>
      </c>
      <c r="R41" s="37"/>
    </row>
  </sheetData>
  <mergeCells count="2">
    <mergeCell ref="I5:K5"/>
    <mergeCell ref="I4:K4"/>
  </mergeCells>
  <printOptions horizontalCentered="1"/>
  <pageMargins left="0" right="0" top="0.74803149606299213" bottom="0.74803149606299213" header="0.31496062992125984" footer="0.31496062992125984"/>
  <pageSetup paperSize="8"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5C726-B5A6-4441-82AE-DDA523501FEC}">
  <sheetPr codeName="Foglio10"/>
  <dimension ref="A1:D33"/>
  <sheetViews>
    <sheetView workbookViewId="0">
      <selection activeCell="J21" sqref="J21"/>
    </sheetView>
  </sheetViews>
  <sheetFormatPr defaultRowHeight="12.75" x14ac:dyDescent="0.2"/>
  <cols>
    <col min="1" max="1" width="10.5703125" customWidth="1"/>
    <col min="2" max="2" width="11.85546875" customWidth="1"/>
    <col min="3" max="3" width="14.140625" customWidth="1"/>
    <col min="4" max="4" width="14" customWidth="1"/>
  </cols>
  <sheetData>
    <row r="1" spans="1:4" ht="38.25" x14ac:dyDescent="0.2">
      <c r="A1" s="43" t="s">
        <v>28</v>
      </c>
      <c r="B1" s="61" t="s">
        <v>94</v>
      </c>
      <c r="C1" s="61" t="s">
        <v>97</v>
      </c>
      <c r="D1" s="61" t="s">
        <v>98</v>
      </c>
    </row>
    <row r="2" spans="1:4" x14ac:dyDescent="0.2">
      <c r="A2" s="39" t="s">
        <v>50</v>
      </c>
      <c r="B2" s="70">
        <v>9.48</v>
      </c>
      <c r="C2" s="70">
        <v>15.8</v>
      </c>
      <c r="D2" s="70">
        <v>15.8</v>
      </c>
    </row>
    <row r="3" spans="1:4" x14ac:dyDescent="0.2">
      <c r="A3" s="39" t="s">
        <v>51</v>
      </c>
      <c r="B3" s="70">
        <v>9.1999999999999993</v>
      </c>
      <c r="C3" s="70">
        <v>15.34</v>
      </c>
      <c r="D3" s="70">
        <v>15.34</v>
      </c>
    </row>
    <row r="4" spans="1:4" x14ac:dyDescent="0.2">
      <c r="A4" s="39" t="s">
        <v>52</v>
      </c>
      <c r="B4" s="70">
        <v>8.85</v>
      </c>
      <c r="C4" s="70">
        <v>14.75</v>
      </c>
      <c r="D4" s="70">
        <v>14.75</v>
      </c>
    </row>
    <row r="5" spans="1:4" x14ac:dyDescent="0.2">
      <c r="A5" s="39" t="s">
        <v>53</v>
      </c>
      <c r="B5" s="70">
        <v>8.51</v>
      </c>
      <c r="C5" s="70">
        <v>14.19</v>
      </c>
      <c r="D5" s="70">
        <v>14.19</v>
      </c>
    </row>
    <row r="6" spans="1:4" x14ac:dyDescent="0.2">
      <c r="A6" s="39" t="s">
        <v>54</v>
      </c>
      <c r="B6" s="70">
        <v>8.15</v>
      </c>
      <c r="C6" s="70">
        <v>13.58</v>
      </c>
      <c r="D6" s="70">
        <v>13.58</v>
      </c>
    </row>
    <row r="7" spans="1:4" x14ac:dyDescent="0.2">
      <c r="A7" s="39" t="s">
        <v>55</v>
      </c>
      <c r="B7" s="70">
        <v>7.55</v>
      </c>
      <c r="C7" s="70">
        <v>12.59</v>
      </c>
      <c r="D7" s="70">
        <v>12.59</v>
      </c>
    </row>
    <row r="8" spans="1:4" x14ac:dyDescent="0.2">
      <c r="A8" s="39" t="s">
        <v>56</v>
      </c>
      <c r="B8" s="70">
        <v>7.15</v>
      </c>
      <c r="C8" s="70">
        <v>11.91</v>
      </c>
      <c r="D8" s="70">
        <v>11.91</v>
      </c>
    </row>
    <row r="9" spans="1:4" x14ac:dyDescent="0.2">
      <c r="A9" s="39" t="s">
        <v>57</v>
      </c>
      <c r="B9" s="70">
        <v>6.72</v>
      </c>
      <c r="C9" s="70">
        <v>11.2</v>
      </c>
      <c r="D9" s="70">
        <v>11.2</v>
      </c>
    </row>
    <row r="10" spans="1:4" x14ac:dyDescent="0.2">
      <c r="A10" s="39" t="s">
        <v>58</v>
      </c>
      <c r="B10" s="70">
        <v>7.77</v>
      </c>
      <c r="C10" s="70">
        <v>12.94</v>
      </c>
      <c r="D10" s="70">
        <v>12.94</v>
      </c>
    </row>
    <row r="11" spans="1:4" x14ac:dyDescent="0.2">
      <c r="A11" s="39" t="s">
        <v>59</v>
      </c>
      <c r="B11" s="70">
        <v>7.54</v>
      </c>
      <c r="C11" s="70">
        <v>12.57</v>
      </c>
      <c r="D11" s="70">
        <v>12.57</v>
      </c>
    </row>
    <row r="12" spans="1:4" x14ac:dyDescent="0.2">
      <c r="A12" s="39" t="s">
        <v>60</v>
      </c>
      <c r="B12" s="70">
        <v>7.28</v>
      </c>
      <c r="C12" s="70">
        <v>12.13</v>
      </c>
      <c r="D12" s="70">
        <v>12.13</v>
      </c>
    </row>
    <row r="13" spans="1:4" x14ac:dyDescent="0.2">
      <c r="A13" s="39" t="s">
        <v>61</v>
      </c>
      <c r="B13" s="70">
        <v>7.02</v>
      </c>
      <c r="C13" s="70">
        <v>11.7</v>
      </c>
      <c r="D13" s="70">
        <v>11.7</v>
      </c>
    </row>
    <row r="14" spans="1:4" x14ac:dyDescent="0.2">
      <c r="A14" s="39" t="s">
        <v>62</v>
      </c>
      <c r="B14" s="70">
        <v>6.78</v>
      </c>
      <c r="C14" s="70">
        <v>11.3</v>
      </c>
      <c r="D14" s="70">
        <v>11.3</v>
      </c>
    </row>
    <row r="15" spans="1:4" x14ac:dyDescent="0.2">
      <c r="A15" s="39" t="s">
        <v>63</v>
      </c>
      <c r="B15" s="70">
        <v>6.45</v>
      </c>
      <c r="C15" s="70">
        <v>10.75</v>
      </c>
      <c r="D15" s="70">
        <v>10.75</v>
      </c>
    </row>
    <row r="16" spans="1:4" x14ac:dyDescent="0.2">
      <c r="A16" s="39" t="s">
        <v>64</v>
      </c>
      <c r="B16" s="70">
        <v>6.18</v>
      </c>
      <c r="C16" s="70">
        <v>10.31</v>
      </c>
      <c r="D16" s="70">
        <v>10.34</v>
      </c>
    </row>
    <row r="17" spans="1:4" x14ac:dyDescent="0.2">
      <c r="A17" s="39" t="s">
        <v>65</v>
      </c>
      <c r="B17" s="70">
        <v>5.95</v>
      </c>
      <c r="C17" s="70">
        <v>9.92</v>
      </c>
      <c r="D17" s="70">
        <v>9.9600000000000009</v>
      </c>
    </row>
    <row r="18" spans="1:4" x14ac:dyDescent="0.2">
      <c r="A18" s="39" t="s">
        <v>66</v>
      </c>
      <c r="B18" s="70">
        <v>6.44</v>
      </c>
      <c r="C18" s="70">
        <v>10.74</v>
      </c>
      <c r="D18" s="70">
        <v>10.74</v>
      </c>
    </row>
    <row r="19" spans="1:4" x14ac:dyDescent="0.2">
      <c r="A19" s="39" t="s">
        <v>67</v>
      </c>
      <c r="B19" s="70">
        <v>6.24</v>
      </c>
      <c r="C19" s="70">
        <v>10.41</v>
      </c>
      <c r="D19" s="70">
        <v>10.43</v>
      </c>
    </row>
    <row r="20" spans="1:4" x14ac:dyDescent="0.2">
      <c r="A20" s="39" t="s">
        <v>68</v>
      </c>
      <c r="B20" s="70">
        <v>6.05</v>
      </c>
      <c r="C20" s="70">
        <v>10.08</v>
      </c>
      <c r="D20" s="70">
        <v>10.11</v>
      </c>
    </row>
    <row r="21" spans="1:4" x14ac:dyDescent="0.2">
      <c r="A21" s="39" t="s">
        <v>69</v>
      </c>
      <c r="B21" s="70">
        <v>5.86</v>
      </c>
      <c r="C21" s="70">
        <v>9.76</v>
      </c>
      <c r="D21" s="70">
        <v>9.8000000000000007</v>
      </c>
    </row>
    <row r="22" spans="1:4" x14ac:dyDescent="0.2">
      <c r="A22" s="39" t="s">
        <v>70</v>
      </c>
      <c r="B22" s="70">
        <v>5.67</v>
      </c>
      <c r="C22" s="70">
        <v>9.4600000000000009</v>
      </c>
      <c r="D22" s="70">
        <v>9.51</v>
      </c>
    </row>
    <row r="23" spans="1:4" x14ac:dyDescent="0.2">
      <c r="A23" s="39" t="s">
        <v>71</v>
      </c>
      <c r="B23" s="70">
        <v>5.4</v>
      </c>
      <c r="C23" s="70">
        <v>8.99</v>
      </c>
      <c r="D23" s="70">
        <v>9.06</v>
      </c>
    </row>
    <row r="24" spans="1:4" x14ac:dyDescent="0.2">
      <c r="A24" s="39" t="s">
        <v>72</v>
      </c>
      <c r="B24" s="70">
        <v>5.19</v>
      </c>
      <c r="C24" s="70">
        <v>8.65</v>
      </c>
      <c r="D24" s="70">
        <v>8.73</v>
      </c>
    </row>
    <row r="25" spans="1:4" x14ac:dyDescent="0.2">
      <c r="A25" s="39" t="s">
        <v>73</v>
      </c>
      <c r="B25" s="70">
        <v>5.09</v>
      </c>
      <c r="C25" s="70">
        <v>8.48</v>
      </c>
      <c r="D25" s="70">
        <v>8.57</v>
      </c>
    </row>
    <row r="26" spans="1:4" x14ac:dyDescent="0.2">
      <c r="A26" s="41" t="s">
        <v>31</v>
      </c>
      <c r="B26" s="70">
        <v>5.73</v>
      </c>
      <c r="C26" s="70">
        <v>9.5500000000000007</v>
      </c>
      <c r="D26" s="70">
        <v>9.5500000000000007</v>
      </c>
    </row>
    <row r="27" spans="1:4" x14ac:dyDescent="0.2">
      <c r="A27" s="41" t="s">
        <v>21</v>
      </c>
      <c r="B27" s="70">
        <v>5.56</v>
      </c>
      <c r="C27" s="70">
        <v>9.26</v>
      </c>
      <c r="D27" s="70">
        <v>9.32</v>
      </c>
    </row>
    <row r="28" spans="1:4" x14ac:dyDescent="0.2">
      <c r="A28" s="41" t="s">
        <v>22</v>
      </c>
      <c r="B28" s="70">
        <v>5.35</v>
      </c>
      <c r="C28" s="70">
        <v>8.92</v>
      </c>
      <c r="D28" s="70">
        <v>8.99</v>
      </c>
    </row>
    <row r="29" spans="1:4" x14ac:dyDescent="0.2">
      <c r="A29" s="41" t="s">
        <v>23</v>
      </c>
      <c r="B29" s="70">
        <v>5.15</v>
      </c>
      <c r="C29" s="70">
        <v>8.59</v>
      </c>
      <c r="D29" s="70">
        <v>8.67</v>
      </c>
    </row>
    <row r="30" spans="1:4" x14ac:dyDescent="0.2">
      <c r="A30" s="41" t="s">
        <v>24</v>
      </c>
      <c r="B30" s="70">
        <v>4.93</v>
      </c>
      <c r="C30" s="70">
        <v>8.2200000000000006</v>
      </c>
      <c r="D30" s="70">
        <v>8.32</v>
      </c>
    </row>
    <row r="31" spans="1:4" x14ac:dyDescent="0.2">
      <c r="A31" s="41" t="s">
        <v>25</v>
      </c>
      <c r="B31" s="70">
        <v>4.72</v>
      </c>
      <c r="C31" s="70">
        <v>7.87</v>
      </c>
      <c r="D31" s="70">
        <v>7.98</v>
      </c>
    </row>
    <row r="32" spans="1:4" x14ac:dyDescent="0.2">
      <c r="A32" s="41" t="s">
        <v>26</v>
      </c>
      <c r="B32" s="70">
        <v>4.4400000000000004</v>
      </c>
      <c r="C32" s="70">
        <v>7.41</v>
      </c>
      <c r="D32" s="70">
        <v>7.53</v>
      </c>
    </row>
    <row r="33" spans="1:4" x14ac:dyDescent="0.2">
      <c r="A33" s="42" t="s">
        <v>30</v>
      </c>
      <c r="B33" s="70">
        <v>3.91</v>
      </c>
      <c r="C33" s="70">
        <v>6.51</v>
      </c>
      <c r="D33" s="70">
        <v>6.64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genn-marzo 2022</vt:lpstr>
      <vt:lpstr>aprile giugno 2022</vt:lpstr>
      <vt:lpstr>da luglio 22 a dic 2022</vt:lpstr>
      <vt:lpstr>gennaio 2023</vt:lpstr>
      <vt:lpstr>da febbraio a dicembre 2023</vt:lpstr>
      <vt:lpstr>da gennaio ad aprile 2024</vt:lpstr>
      <vt:lpstr>da maggio a dicembre 2024</vt:lpstr>
      <vt:lpstr>CCNL Economico 2022</vt:lpstr>
      <vt:lpstr>IVC 2022-24</vt:lpstr>
      <vt:lpstr>Emonum Acc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CLAUDIA CAPONI D096387</cp:lastModifiedBy>
  <cp:lastPrinted>2018-02-14T12:50:29Z</cp:lastPrinted>
  <dcterms:created xsi:type="dcterms:W3CDTF">1996-11-05T10:16:36Z</dcterms:created>
  <dcterms:modified xsi:type="dcterms:W3CDTF">2025-04-28T07:54:29Z</dcterms:modified>
</cp:coreProperties>
</file>