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aggiornamento aprile 25\"/>
    </mc:Choice>
  </mc:AlternateContent>
  <xr:revisionPtr revIDLastSave="0" documentId="13_ncr:1_{A7D684B6-FF38-45B4-872A-F652E2CFA4E5}" xr6:coauthVersionLast="47" xr6:coauthVersionMax="47" xr10:uidLastSave="{00000000-0000-0000-0000-000000000000}"/>
  <bookViews>
    <workbookView xWindow="-120" yWindow="-120" windowWidth="29040" windowHeight="15720" activeTab="1" xr2:uid="{26633400-3C67-4231-9C6F-F04D2DF7F1CF}"/>
  </bookViews>
  <sheets>
    <sheet name="da gennaio a marzo 2025" sheetId="10" r:id="rId1"/>
    <sheet name="aprile - giugno 2025" sheetId="5" r:id="rId2"/>
    <sheet name="da luglio 2025" sheetId="9" r:id="rId3"/>
    <sheet name="IVC Nuov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8" l="1"/>
  <c r="J10" i="8"/>
  <c r="K10" i="8"/>
  <c r="J32" i="8" l="1"/>
  <c r="K32" i="8"/>
  <c r="I32" i="8"/>
  <c r="J26" i="8"/>
  <c r="K26" i="8"/>
  <c r="I26" i="8"/>
  <c r="J19" i="8"/>
  <c r="K19" i="8"/>
  <c r="I19" i="8"/>
  <c r="J11" i="8"/>
  <c r="I11" i="8"/>
  <c r="I10" i="8"/>
  <c r="K18" i="8"/>
  <c r="I18" i="8"/>
  <c r="J18" i="8" s="1"/>
  <c r="I25" i="8"/>
  <c r="K25" i="8" s="1"/>
  <c r="K31" i="8"/>
  <c r="J31" i="8"/>
  <c r="I31" i="8"/>
  <c r="C41" i="10"/>
  <c r="C40" i="10"/>
  <c r="C39" i="10"/>
  <c r="K28" i="10"/>
  <c r="G28" i="10"/>
  <c r="G27" i="10"/>
  <c r="G26" i="10"/>
  <c r="G25" i="10"/>
  <c r="G24" i="10"/>
  <c r="G23" i="10"/>
  <c r="G22" i="10"/>
  <c r="K21" i="10"/>
  <c r="G21" i="10"/>
  <c r="L20" i="10"/>
  <c r="G20" i="10"/>
  <c r="N20" i="10"/>
  <c r="L19" i="10"/>
  <c r="N19" i="10" s="1"/>
  <c r="G19" i="10"/>
  <c r="L18" i="10"/>
  <c r="N18" i="10" s="1"/>
  <c r="G18" i="10"/>
  <c r="L17" i="10"/>
  <c r="G17" i="10"/>
  <c r="N17" i="10"/>
  <c r="L16" i="10"/>
  <c r="G16" i="10"/>
  <c r="N16" i="10"/>
  <c r="L15" i="10"/>
  <c r="N15" i="10" s="1"/>
  <c r="G15" i="10"/>
  <c r="L14" i="10"/>
  <c r="N14" i="10" s="1"/>
  <c r="G14" i="10"/>
  <c r="L13" i="10"/>
  <c r="N13" i="10" s="1"/>
  <c r="K13" i="10"/>
  <c r="G13" i="10"/>
  <c r="L12" i="10"/>
  <c r="N12" i="10" s="1"/>
  <c r="G12" i="10"/>
  <c r="O12" i="10" s="1"/>
  <c r="L11" i="10"/>
  <c r="N11" i="10" s="1"/>
  <c r="G11" i="10"/>
  <c r="O11" i="10" s="1"/>
  <c r="N10" i="10"/>
  <c r="L10" i="10"/>
  <c r="G10" i="10"/>
  <c r="O10" i="10" s="1"/>
  <c r="L9" i="10"/>
  <c r="N9" i="10" s="1"/>
  <c r="G9" i="10"/>
  <c r="L8" i="10"/>
  <c r="N8" i="10" s="1"/>
  <c r="G8" i="10"/>
  <c r="O8" i="10" s="1"/>
  <c r="L7" i="10"/>
  <c r="N7" i="10" s="1"/>
  <c r="G7" i="10"/>
  <c r="O7" i="10" s="1"/>
  <c r="N6" i="10"/>
  <c r="L6" i="10"/>
  <c r="G6" i="10"/>
  <c r="O6" i="10" s="1"/>
  <c r="K5" i="10"/>
  <c r="L5" i="10"/>
  <c r="E32" i="9"/>
  <c r="E31" i="9"/>
  <c r="E30" i="9"/>
  <c r="E29" i="9"/>
  <c r="E28" i="9"/>
  <c r="E27" i="9"/>
  <c r="C41" i="9" s="1"/>
  <c r="E26" i="9"/>
  <c r="E25" i="9"/>
  <c r="E24" i="9"/>
  <c r="E23" i="9"/>
  <c r="E22" i="9"/>
  <c r="E21" i="9"/>
  <c r="G21" i="9" s="1"/>
  <c r="E20" i="9"/>
  <c r="E19" i="9"/>
  <c r="E18" i="9"/>
  <c r="E17" i="9"/>
  <c r="L17" i="9" s="1"/>
  <c r="E16" i="9"/>
  <c r="E15" i="9"/>
  <c r="E14" i="9"/>
  <c r="E13" i="9"/>
  <c r="L13" i="9" s="1"/>
  <c r="N13" i="9" s="1"/>
  <c r="E12" i="9"/>
  <c r="C39" i="9" s="1"/>
  <c r="E11" i="9"/>
  <c r="L11" i="9" s="1"/>
  <c r="N11" i="9" s="1"/>
  <c r="E10" i="9"/>
  <c r="L10" i="9" s="1"/>
  <c r="N10" i="9" s="1"/>
  <c r="E9" i="9"/>
  <c r="E8" i="9"/>
  <c r="G8" i="9" s="1"/>
  <c r="E7" i="9"/>
  <c r="L7" i="9" s="1"/>
  <c r="N7" i="9" s="1"/>
  <c r="E6" i="9"/>
  <c r="G6" i="9" s="1"/>
  <c r="E5" i="9"/>
  <c r="L5" i="9" s="1"/>
  <c r="C40" i="9"/>
  <c r="K28" i="9"/>
  <c r="G28" i="9"/>
  <c r="G27" i="9"/>
  <c r="G26" i="9"/>
  <c r="G25" i="9"/>
  <c r="G24" i="9"/>
  <c r="G23" i="9"/>
  <c r="G22" i="9"/>
  <c r="K21" i="9"/>
  <c r="L20" i="9"/>
  <c r="N20" i="9" s="1"/>
  <c r="G20" i="9"/>
  <c r="G19" i="9"/>
  <c r="L18" i="9"/>
  <c r="G18" i="9"/>
  <c r="N18" i="9"/>
  <c r="L16" i="9"/>
  <c r="N16" i="9" s="1"/>
  <c r="G16" i="9"/>
  <c r="G15" i="9"/>
  <c r="L14" i="9"/>
  <c r="G14" i="9"/>
  <c r="N14" i="9"/>
  <c r="K13" i="9"/>
  <c r="G9" i="9"/>
  <c r="K5" i="9"/>
  <c r="K28" i="5"/>
  <c r="N29" i="5" s="1"/>
  <c r="K21" i="5"/>
  <c r="N25" i="5" s="1"/>
  <c r="K13" i="5"/>
  <c r="N20" i="5" s="1"/>
  <c r="K5" i="5"/>
  <c r="O5" i="5" s="1"/>
  <c r="M42" i="5"/>
  <c r="M41" i="5"/>
  <c r="M40" i="5"/>
  <c r="L42" i="5"/>
  <c r="L41" i="5"/>
  <c r="L40" i="5"/>
  <c r="K42" i="5"/>
  <c r="K41" i="5"/>
  <c r="K40" i="5"/>
  <c r="J42" i="5"/>
  <c r="J41" i="5"/>
  <c r="I42" i="5"/>
  <c r="I41" i="5"/>
  <c r="I40" i="5"/>
  <c r="J40" i="5"/>
  <c r="J39" i="5"/>
  <c r="O12" i="5"/>
  <c r="E42" i="5"/>
  <c r="E41" i="5"/>
  <c r="E40" i="5"/>
  <c r="E39" i="5"/>
  <c r="I39" i="5"/>
  <c r="K39" i="5" s="1"/>
  <c r="H42" i="5"/>
  <c r="H41" i="5"/>
  <c r="H40" i="5"/>
  <c r="H39" i="5"/>
  <c r="N32" i="5"/>
  <c r="N31" i="5"/>
  <c r="N30" i="5"/>
  <c r="P30" i="5" s="1"/>
  <c r="N28" i="5"/>
  <c r="P28" i="5" s="1"/>
  <c r="N27" i="5"/>
  <c r="P27" i="5" s="1"/>
  <c r="N26" i="5"/>
  <c r="O26" i="5" s="1"/>
  <c r="N24" i="5"/>
  <c r="O24" i="5" s="1"/>
  <c r="N23" i="5"/>
  <c r="N22" i="5"/>
  <c r="O22" i="5" s="1"/>
  <c r="N21" i="5"/>
  <c r="N19" i="5"/>
  <c r="P19" i="5" s="1"/>
  <c r="N18" i="5"/>
  <c r="N17" i="5"/>
  <c r="P17" i="5" s="1"/>
  <c r="N15" i="5"/>
  <c r="P15" i="5" s="1"/>
  <c r="N14" i="5"/>
  <c r="O14" i="5" s="1"/>
  <c r="R14" i="5" s="1"/>
  <c r="N13" i="5"/>
  <c r="P13" i="5" s="1"/>
  <c r="P32" i="5"/>
  <c r="P31" i="5"/>
  <c r="O31" i="5"/>
  <c r="O27" i="5"/>
  <c r="P24" i="5"/>
  <c r="P23" i="5"/>
  <c r="O23" i="5"/>
  <c r="P18" i="5"/>
  <c r="O18" i="5"/>
  <c r="O17" i="5"/>
  <c r="P14" i="5"/>
  <c r="P21" i="5"/>
  <c r="O21" i="5"/>
  <c r="R21" i="5" s="1"/>
  <c r="N12" i="5"/>
  <c r="P12" i="5" s="1"/>
  <c r="O11" i="5"/>
  <c r="O10" i="5"/>
  <c r="O9" i="5"/>
  <c r="N9" i="5"/>
  <c r="O8" i="5"/>
  <c r="P7" i="5"/>
  <c r="R7" i="5" s="1"/>
  <c r="O7" i="5"/>
  <c r="N7" i="5"/>
  <c r="P6" i="5"/>
  <c r="O6" i="5"/>
  <c r="N6" i="5"/>
  <c r="Q6" i="5" s="1"/>
  <c r="E32" i="5"/>
  <c r="G32" i="5" s="1"/>
  <c r="E31" i="5"/>
  <c r="L31" i="5" s="1"/>
  <c r="E30" i="5"/>
  <c r="G30" i="5" s="1"/>
  <c r="E29" i="5"/>
  <c r="G29" i="5" s="1"/>
  <c r="E28" i="5"/>
  <c r="G28" i="5" s="1"/>
  <c r="E27" i="5"/>
  <c r="C41" i="5" s="1"/>
  <c r="E26" i="5"/>
  <c r="G26" i="5" s="1"/>
  <c r="E25" i="5"/>
  <c r="L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L17" i="5" s="1"/>
  <c r="E16" i="5"/>
  <c r="G16" i="5" s="1"/>
  <c r="E15" i="5"/>
  <c r="L15" i="5" s="1"/>
  <c r="E14" i="5"/>
  <c r="G14" i="5" s="1"/>
  <c r="E13" i="5"/>
  <c r="G13" i="5" s="1"/>
  <c r="E12" i="5"/>
  <c r="L12" i="5" s="1"/>
  <c r="E11" i="5"/>
  <c r="G11" i="5" s="1"/>
  <c r="E10" i="5"/>
  <c r="E9" i="5"/>
  <c r="G9" i="5" s="1"/>
  <c r="E8" i="5"/>
  <c r="L8" i="5" s="1"/>
  <c r="E7" i="5"/>
  <c r="G7" i="5" s="1"/>
  <c r="E6" i="5"/>
  <c r="E5" i="5"/>
  <c r="G5" i="5" s="1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L6" i="9" l="1"/>
  <c r="N6" i="9" s="1"/>
  <c r="G7" i="9"/>
  <c r="L8" i="9"/>
  <c r="N8" i="9" s="1"/>
  <c r="P8" i="9" s="1"/>
  <c r="G10" i="9"/>
  <c r="O10" i="9" s="1"/>
  <c r="R10" i="9" s="1"/>
  <c r="G11" i="9"/>
  <c r="L12" i="9"/>
  <c r="N12" i="9" s="1"/>
  <c r="P12" i="9" s="1"/>
  <c r="J25" i="8"/>
  <c r="O9" i="10"/>
  <c r="P13" i="10"/>
  <c r="O13" i="10"/>
  <c r="P18" i="10"/>
  <c r="O18" i="10"/>
  <c r="R18" i="10" s="1"/>
  <c r="R7" i="10"/>
  <c r="P17" i="10"/>
  <c r="O17" i="10"/>
  <c r="P16" i="10"/>
  <c r="O16" i="10"/>
  <c r="R16" i="10" s="1"/>
  <c r="P20" i="10"/>
  <c r="O20" i="10"/>
  <c r="R20" i="10" s="1"/>
  <c r="P15" i="10"/>
  <c r="O15" i="10"/>
  <c r="P19" i="10"/>
  <c r="O19" i="10"/>
  <c r="R19" i="10" s="1"/>
  <c r="Q19" i="10"/>
  <c r="P14" i="10"/>
  <c r="O14" i="10"/>
  <c r="N30" i="10"/>
  <c r="R11" i="10"/>
  <c r="C42" i="10"/>
  <c r="G5" i="10"/>
  <c r="O5" i="10" s="1"/>
  <c r="L21" i="10"/>
  <c r="N21" i="10" s="1"/>
  <c r="L22" i="10"/>
  <c r="N22" i="10" s="1"/>
  <c r="L23" i="10"/>
  <c r="N23" i="10" s="1"/>
  <c r="L24" i="10"/>
  <c r="N24" i="10" s="1"/>
  <c r="L25" i="10"/>
  <c r="N25" i="10" s="1"/>
  <c r="L26" i="10"/>
  <c r="N26" i="10" s="1"/>
  <c r="L27" i="10"/>
  <c r="N27" i="10" s="1"/>
  <c r="G29" i="10"/>
  <c r="G30" i="10"/>
  <c r="G31" i="10"/>
  <c r="G32" i="10"/>
  <c r="E39" i="10"/>
  <c r="E40" i="10"/>
  <c r="E41" i="10"/>
  <c r="P6" i="10"/>
  <c r="R6" i="10" s="1"/>
  <c r="P7" i="10"/>
  <c r="Q7" i="10" s="1"/>
  <c r="P8" i="10"/>
  <c r="Q8" i="10" s="1"/>
  <c r="P9" i="10"/>
  <c r="R9" i="10" s="1"/>
  <c r="P10" i="10"/>
  <c r="R10" i="10" s="1"/>
  <c r="P11" i="10"/>
  <c r="Q11" i="10" s="1"/>
  <c r="P12" i="10"/>
  <c r="Q12" i="10" s="1"/>
  <c r="L28" i="10"/>
  <c r="N28" i="10" s="1"/>
  <c r="L29" i="10"/>
  <c r="N29" i="10" s="1"/>
  <c r="L30" i="10"/>
  <c r="L31" i="10"/>
  <c r="N31" i="10" s="1"/>
  <c r="L32" i="10"/>
  <c r="N32" i="10" s="1"/>
  <c r="H39" i="10"/>
  <c r="I39" i="10" s="1"/>
  <c r="H40" i="10"/>
  <c r="I40" i="10" s="1"/>
  <c r="H41" i="10"/>
  <c r="I41" i="10" s="1"/>
  <c r="N5" i="10"/>
  <c r="L21" i="9"/>
  <c r="N21" i="9" s="1"/>
  <c r="L9" i="9"/>
  <c r="N9" i="9" s="1"/>
  <c r="P9" i="9" s="1"/>
  <c r="G12" i="9"/>
  <c r="G13" i="9"/>
  <c r="L15" i="9"/>
  <c r="N15" i="9" s="1"/>
  <c r="N17" i="9"/>
  <c r="L19" i="9"/>
  <c r="N19" i="9" s="1"/>
  <c r="O7" i="9"/>
  <c r="O11" i="9"/>
  <c r="Q11" i="9" s="1"/>
  <c r="G17" i="9"/>
  <c r="O6" i="9"/>
  <c r="P20" i="9"/>
  <c r="O20" i="9"/>
  <c r="R20" i="9" s="1"/>
  <c r="P13" i="9"/>
  <c r="O13" i="9"/>
  <c r="P14" i="9"/>
  <c r="O14" i="9"/>
  <c r="R14" i="9" s="1"/>
  <c r="P18" i="9"/>
  <c r="Q18" i="9" s="1"/>
  <c r="O18" i="9"/>
  <c r="P16" i="9"/>
  <c r="Q16" i="9"/>
  <c r="O16" i="9"/>
  <c r="P17" i="9"/>
  <c r="Q17" i="9"/>
  <c r="O17" i="9"/>
  <c r="N28" i="9"/>
  <c r="G5" i="9"/>
  <c r="O5" i="9" s="1"/>
  <c r="L22" i="9"/>
  <c r="N22" i="9" s="1"/>
  <c r="L23" i="9"/>
  <c r="N23" i="9" s="1"/>
  <c r="L24" i="9"/>
  <c r="N24" i="9" s="1"/>
  <c r="L25" i="9"/>
  <c r="N25" i="9" s="1"/>
  <c r="L26" i="9"/>
  <c r="N26" i="9" s="1"/>
  <c r="L27" i="9"/>
  <c r="N27" i="9" s="1"/>
  <c r="G29" i="9"/>
  <c r="G30" i="9"/>
  <c r="G31" i="9"/>
  <c r="G32" i="9"/>
  <c r="E39" i="9"/>
  <c r="E40" i="9"/>
  <c r="E41" i="9"/>
  <c r="C42" i="9"/>
  <c r="P6" i="9"/>
  <c r="Q6" i="9" s="1"/>
  <c r="P7" i="9"/>
  <c r="P10" i="9"/>
  <c r="P11" i="9"/>
  <c r="L28" i="9"/>
  <c r="L29" i="9"/>
  <c r="N29" i="9" s="1"/>
  <c r="L30" i="9"/>
  <c r="N30" i="9" s="1"/>
  <c r="L31" i="9"/>
  <c r="N31" i="9" s="1"/>
  <c r="L32" i="9"/>
  <c r="N32" i="9" s="1"/>
  <c r="H39" i="9"/>
  <c r="I39" i="9" s="1"/>
  <c r="H40" i="9"/>
  <c r="I40" i="9" s="1"/>
  <c r="H41" i="9"/>
  <c r="I41" i="9" s="1"/>
  <c r="N5" i="9"/>
  <c r="O29" i="5"/>
  <c r="R29" i="5" s="1"/>
  <c r="P29" i="5"/>
  <c r="O28" i="5"/>
  <c r="R28" i="5" s="1"/>
  <c r="O32" i="5"/>
  <c r="R32" i="5" s="1"/>
  <c r="R31" i="5"/>
  <c r="P25" i="5"/>
  <c r="O25" i="5"/>
  <c r="R24" i="5"/>
  <c r="P22" i="5"/>
  <c r="R22" i="5" s="1"/>
  <c r="P26" i="5"/>
  <c r="R26" i="5" s="1"/>
  <c r="P20" i="5"/>
  <c r="O20" i="5"/>
  <c r="R20" i="5" s="1"/>
  <c r="O13" i="5"/>
  <c r="Q13" i="5" s="1"/>
  <c r="O19" i="5"/>
  <c r="R19" i="5" s="1"/>
  <c r="N16" i="5"/>
  <c r="O15" i="5"/>
  <c r="Q15" i="5" s="1"/>
  <c r="R18" i="5"/>
  <c r="N8" i="5"/>
  <c r="P8" i="5" s="1"/>
  <c r="R8" i="5" s="1"/>
  <c r="N10" i="5"/>
  <c r="N11" i="5"/>
  <c r="Q7" i="5"/>
  <c r="R6" i="5"/>
  <c r="M39" i="5"/>
  <c r="L39" i="5"/>
  <c r="O30" i="5"/>
  <c r="Q31" i="5"/>
  <c r="R23" i="5"/>
  <c r="R25" i="5"/>
  <c r="R27" i="5"/>
  <c r="R15" i="5"/>
  <c r="R17" i="5"/>
  <c r="Q23" i="5"/>
  <c r="Q24" i="5"/>
  <c r="Q25" i="5"/>
  <c r="Q27" i="5"/>
  <c r="Q14" i="5"/>
  <c r="Q17" i="5"/>
  <c r="Q18" i="5"/>
  <c r="Q20" i="5"/>
  <c r="Q21" i="5"/>
  <c r="R12" i="5"/>
  <c r="Q12" i="5"/>
  <c r="P9" i="5"/>
  <c r="R9" i="5" s="1"/>
  <c r="L13" i="5"/>
  <c r="G25" i="5"/>
  <c r="L21" i="5"/>
  <c r="G31" i="5"/>
  <c r="L5" i="5"/>
  <c r="N5" i="5" s="1"/>
  <c r="P5" i="5" s="1"/>
  <c r="G17" i="5"/>
  <c r="L29" i="5"/>
  <c r="L23" i="5"/>
  <c r="C40" i="5"/>
  <c r="L9" i="5"/>
  <c r="L11" i="5"/>
  <c r="L19" i="5"/>
  <c r="L27" i="5"/>
  <c r="G15" i="5"/>
  <c r="L7" i="5"/>
  <c r="G27" i="5"/>
  <c r="G6" i="5"/>
  <c r="G10" i="5"/>
  <c r="L6" i="5"/>
  <c r="L10" i="5"/>
  <c r="L14" i="5"/>
  <c r="L18" i="5"/>
  <c r="L22" i="5"/>
  <c r="L26" i="5"/>
  <c r="L30" i="5"/>
  <c r="C42" i="5"/>
  <c r="G8" i="5"/>
  <c r="G12" i="5"/>
  <c r="C39" i="5"/>
  <c r="L16" i="5"/>
  <c r="L20" i="5"/>
  <c r="L24" i="5"/>
  <c r="L28" i="5"/>
  <c r="L32" i="5"/>
  <c r="Q7" i="9" l="1"/>
  <c r="O12" i="9"/>
  <c r="Q12" i="9" s="1"/>
  <c r="R11" i="9"/>
  <c r="Q10" i="9"/>
  <c r="O9" i="9"/>
  <c r="Q9" i="9" s="1"/>
  <c r="O8" i="9"/>
  <c r="R8" i="9" s="1"/>
  <c r="Q17" i="10"/>
  <c r="R14" i="10"/>
  <c r="R12" i="10"/>
  <c r="R13" i="10"/>
  <c r="R15" i="10"/>
  <c r="Q16" i="10"/>
  <c r="R8" i="10"/>
  <c r="Q18" i="10"/>
  <c r="K40" i="10"/>
  <c r="J40" i="10"/>
  <c r="K39" i="10"/>
  <c r="P29" i="10"/>
  <c r="O29" i="10"/>
  <c r="R29" i="10" s="1"/>
  <c r="O27" i="10"/>
  <c r="Q27" i="10"/>
  <c r="P27" i="10"/>
  <c r="O23" i="10"/>
  <c r="P23" i="10"/>
  <c r="P32" i="10"/>
  <c r="O32" i="10"/>
  <c r="O26" i="10"/>
  <c r="R26" i="10" s="1"/>
  <c r="P26" i="10"/>
  <c r="O22" i="10"/>
  <c r="P22" i="10"/>
  <c r="K41" i="10"/>
  <c r="J41" i="10"/>
  <c r="M41" i="10" s="1"/>
  <c r="O25" i="10"/>
  <c r="P25" i="10"/>
  <c r="Q25" i="10" s="1"/>
  <c r="H42" i="10"/>
  <c r="I42" i="10" s="1"/>
  <c r="E42" i="10"/>
  <c r="Q10" i="10"/>
  <c r="Q6" i="10"/>
  <c r="P31" i="10"/>
  <c r="O31" i="10"/>
  <c r="Q28" i="10"/>
  <c r="P28" i="10"/>
  <c r="O28" i="10"/>
  <c r="R28" i="10" s="1"/>
  <c r="P5" i="10"/>
  <c r="R5" i="10" s="1"/>
  <c r="Q9" i="10"/>
  <c r="O21" i="10"/>
  <c r="P21" i="10"/>
  <c r="Q21" i="10" s="1"/>
  <c r="P30" i="10"/>
  <c r="O30" i="10"/>
  <c r="Q20" i="10"/>
  <c r="O24" i="10"/>
  <c r="P24" i="10"/>
  <c r="Q24" i="10" s="1"/>
  <c r="J39" i="10"/>
  <c r="M39" i="10" s="1"/>
  <c r="Q14" i="10"/>
  <c r="Q15" i="10"/>
  <c r="R17" i="10"/>
  <c r="Q13" i="10"/>
  <c r="O19" i="9"/>
  <c r="P19" i="9"/>
  <c r="P15" i="9"/>
  <c r="O15" i="9"/>
  <c r="R15" i="9" s="1"/>
  <c r="O21" i="9"/>
  <c r="P21" i="9"/>
  <c r="Q21" i="9" s="1"/>
  <c r="R7" i="9"/>
  <c r="R18" i="9"/>
  <c r="Q13" i="9"/>
  <c r="K39" i="9"/>
  <c r="O29" i="9"/>
  <c r="P29" i="9"/>
  <c r="O24" i="9"/>
  <c r="Q24" i="9" s="1"/>
  <c r="P24" i="9"/>
  <c r="P32" i="9"/>
  <c r="O32" i="9"/>
  <c r="R32" i="9" s="1"/>
  <c r="O27" i="9"/>
  <c r="R27" i="9" s="1"/>
  <c r="P27" i="9"/>
  <c r="J41" i="9"/>
  <c r="K41" i="9"/>
  <c r="O31" i="9"/>
  <c r="P31" i="9"/>
  <c r="O26" i="9"/>
  <c r="P26" i="9"/>
  <c r="Q26" i="9"/>
  <c r="O22" i="9"/>
  <c r="P22" i="9"/>
  <c r="J40" i="9"/>
  <c r="K40" i="9"/>
  <c r="O30" i="9"/>
  <c r="P30" i="9"/>
  <c r="Q30" i="9" s="1"/>
  <c r="O25" i="9"/>
  <c r="P25" i="9"/>
  <c r="Q8" i="9"/>
  <c r="J39" i="9"/>
  <c r="R21" i="9"/>
  <c r="R6" i="9"/>
  <c r="Q19" i="9"/>
  <c r="Q20" i="9"/>
  <c r="O28" i="9"/>
  <c r="P28" i="9"/>
  <c r="O23" i="9"/>
  <c r="Q23" i="9"/>
  <c r="P23" i="9"/>
  <c r="P5" i="9"/>
  <c r="Q5" i="9" s="1"/>
  <c r="H42" i="9"/>
  <c r="I42" i="9" s="1"/>
  <c r="E42" i="9"/>
  <c r="R17" i="9"/>
  <c r="R16" i="9"/>
  <c r="Q14" i="9"/>
  <c r="R13" i="9"/>
  <c r="Q29" i="5"/>
  <c r="Q28" i="5"/>
  <c r="Q32" i="5"/>
  <c r="Q26" i="5"/>
  <c r="Q22" i="5"/>
  <c r="R13" i="5"/>
  <c r="Q19" i="5"/>
  <c r="P16" i="5"/>
  <c r="O16" i="5"/>
  <c r="Q11" i="5"/>
  <c r="P11" i="5"/>
  <c r="R11" i="5" s="1"/>
  <c r="Q8" i="5"/>
  <c r="P10" i="5"/>
  <c r="R10" i="5" s="1"/>
  <c r="Q10" i="5"/>
  <c r="R30" i="5"/>
  <c r="Q30" i="5"/>
  <c r="Q9" i="5"/>
  <c r="R5" i="5"/>
  <c r="Q5" i="5"/>
  <c r="R9" i="9" l="1"/>
  <c r="R12" i="9"/>
  <c r="R22" i="10"/>
  <c r="Q29" i="10"/>
  <c r="R30" i="10"/>
  <c r="Q23" i="10"/>
  <c r="R27" i="10"/>
  <c r="R31" i="10"/>
  <c r="Q22" i="10"/>
  <c r="R32" i="10"/>
  <c r="L40" i="10"/>
  <c r="K42" i="10"/>
  <c r="L42" i="10" s="1"/>
  <c r="J42" i="10"/>
  <c r="Q5" i="10"/>
  <c r="R21" i="10"/>
  <c r="L41" i="10"/>
  <c r="R23" i="10"/>
  <c r="L39" i="10"/>
  <c r="R24" i="10"/>
  <c r="Q30" i="10"/>
  <c r="Q31" i="10"/>
  <c r="R25" i="10"/>
  <c r="Q26" i="10"/>
  <c r="Q32" i="10"/>
  <c r="M40" i="10"/>
  <c r="M39" i="9"/>
  <c r="R25" i="9"/>
  <c r="M40" i="9"/>
  <c r="M41" i="9"/>
  <c r="R28" i="9"/>
  <c r="Q25" i="9"/>
  <c r="R22" i="9"/>
  <c r="Q31" i="9"/>
  <c r="R29" i="9"/>
  <c r="Q15" i="9"/>
  <c r="R19" i="9"/>
  <c r="K42" i="9"/>
  <c r="L42" i="9" s="1"/>
  <c r="J42" i="9"/>
  <c r="R5" i="9"/>
  <c r="L41" i="9"/>
  <c r="R23" i="9"/>
  <c r="L40" i="9"/>
  <c r="Q29" i="9"/>
  <c r="R30" i="9"/>
  <c r="Q22" i="9"/>
  <c r="R31" i="9"/>
  <c r="Q27" i="9"/>
  <c r="R24" i="9"/>
  <c r="Q28" i="9"/>
  <c r="R26" i="9"/>
  <c r="Q32" i="9"/>
  <c r="L39" i="9"/>
  <c r="R16" i="5"/>
  <c r="Q16" i="5"/>
  <c r="M42" i="10" l="1"/>
  <c r="M42" i="9"/>
</calcChain>
</file>

<file path=xl/sharedStrings.xml><?xml version="1.0" encoding="utf-8"?>
<sst xmlns="http://schemas.openxmlformats.org/spreadsheetml/2006/main" count="314" uniqueCount="109">
  <si>
    <t>CCNL 18/01/2024</t>
  </si>
  <si>
    <t>Area</t>
  </si>
  <si>
    <t>Retribuzione tabellare annua
Lordo dip.</t>
  </si>
  <si>
    <t>Differenziali</t>
  </si>
  <si>
    <t>IVC 2024</t>
  </si>
  <si>
    <t>IIS * 12 mens.</t>
  </si>
  <si>
    <t>Stipendi senza IIS</t>
  </si>
  <si>
    <t>Indennità di Ateneo * 12 mes</t>
  </si>
  <si>
    <t>Assegno per Ind. di ateneo</t>
  </si>
  <si>
    <t>Retribuzione di posizione base 
*13 mens</t>
  </si>
  <si>
    <t>13ma su stipendio base</t>
  </si>
  <si>
    <t>13ma su Differenzaili e IVC</t>
  </si>
  <si>
    <t>Totale assegni fissi</t>
  </si>
  <si>
    <t xml:space="preserve">Oneri </t>
  </si>
  <si>
    <t>IRAP</t>
  </si>
  <si>
    <t>Costo Totale
Lordo Amm.ne</t>
  </si>
  <si>
    <t>Totale Oneri</t>
  </si>
  <si>
    <t>Elevate Professionalità</t>
  </si>
  <si>
    <t>Ex EP8</t>
  </si>
  <si>
    <t>Ex EP7</t>
  </si>
  <si>
    <t>Ex EP6</t>
  </si>
  <si>
    <t>Ex EP5</t>
  </si>
  <si>
    <t>Ex EP4</t>
  </si>
  <si>
    <t>Ex EP3</t>
  </si>
  <si>
    <t>Ex EP2</t>
  </si>
  <si>
    <t>Ex EP1</t>
  </si>
  <si>
    <t>Funzionari</t>
  </si>
  <si>
    <t>Ex D8</t>
  </si>
  <si>
    <t>Ex D7</t>
  </si>
  <si>
    <t>Ex D6</t>
  </si>
  <si>
    <t>Ex D5</t>
  </si>
  <si>
    <t>Ex D4</t>
  </si>
  <si>
    <t>Ex D3</t>
  </si>
  <si>
    <t>Ex D2</t>
  </si>
  <si>
    <t>Ex D1</t>
  </si>
  <si>
    <t>Collaboratori</t>
  </si>
  <si>
    <t>Ex C8</t>
  </si>
  <si>
    <t>Ex C7</t>
  </si>
  <si>
    <t>Ex C6</t>
  </si>
  <si>
    <t>Ex C5</t>
  </si>
  <si>
    <t>Ex C4</t>
  </si>
  <si>
    <t>Ex C3</t>
  </si>
  <si>
    <t>Ex C1 e Ex C2</t>
  </si>
  <si>
    <t>Operatori</t>
  </si>
  <si>
    <t>Ex B7</t>
  </si>
  <si>
    <t>Ex B6</t>
  </si>
  <si>
    <t>Ex B5</t>
  </si>
  <si>
    <t>Ex B4</t>
  </si>
  <si>
    <t>Ex B1, ex B2 e Ex B3</t>
  </si>
  <si>
    <t>13ma su stipendio e IVC</t>
  </si>
  <si>
    <t>COSTO DEL PERSONALE CON IVC (2022-24) da 01/01/25 A 31/03/25</t>
  </si>
  <si>
    <t>COSTO DEL PERSONALE CON IVC (2022-24 e aprile-giugno 25) da 01/04/25 a 30/06/25</t>
  </si>
  <si>
    <t>COSTO DEL PERSONALE CON IVC (2022-24 e aprile-giugno 25) da 01/04/25 a 30/06/25 - NEOASSUNTI</t>
  </si>
  <si>
    <t>IVC (2022-24 e aprile-giugno 25)</t>
  </si>
  <si>
    <t>IVC (2022-24 e da luglio 25)</t>
  </si>
  <si>
    <t>COSTO DEL PERSONALE CON IVC (2022-24 e da luglio 25) da 01/07/25</t>
  </si>
  <si>
    <t>Importi mensili</t>
  </si>
  <si>
    <t>Posizione economica</t>
  </si>
  <si>
    <t>IVC da aprile a giugno 2022</t>
  </si>
  <si>
    <t>IVC da luglio 2022 al 31 gennaio 2023</t>
  </si>
  <si>
    <t>IVC da 1° febbraio 2023</t>
  </si>
  <si>
    <t>IVC 2024 incremento del 6,7</t>
  </si>
  <si>
    <t>IVC dal 1° aprile al 30 giugno 2025</t>
  </si>
  <si>
    <t>IVC dal 1° luglio 2025</t>
  </si>
  <si>
    <r>
      <rPr>
        <b/>
        <sz val="10"/>
        <color indexed="8"/>
        <rFont val="Arial"/>
        <family val="2"/>
      </rPr>
      <t>EP8</t>
    </r>
  </si>
  <si>
    <r>
      <rPr>
        <b/>
        <sz val="10"/>
        <color indexed="8"/>
        <rFont val="Arial"/>
        <family val="2"/>
      </rPr>
      <t>EP7</t>
    </r>
  </si>
  <si>
    <r>
      <rPr>
        <b/>
        <sz val="10"/>
        <color indexed="8"/>
        <rFont val="Arial"/>
        <family val="2"/>
      </rPr>
      <t>EP6</t>
    </r>
  </si>
  <si>
    <r>
      <rPr>
        <b/>
        <sz val="10"/>
        <color indexed="8"/>
        <rFont val="Arial"/>
        <family val="2"/>
      </rPr>
      <t>EP5</t>
    </r>
  </si>
  <si>
    <r>
      <rPr>
        <b/>
        <sz val="10"/>
        <color indexed="8"/>
        <rFont val="Arial"/>
        <family val="2"/>
      </rPr>
      <t>EP4</t>
    </r>
  </si>
  <si>
    <r>
      <rPr>
        <b/>
        <sz val="10"/>
        <color indexed="8"/>
        <rFont val="Arial"/>
        <family val="2"/>
      </rPr>
      <t>EP3</t>
    </r>
  </si>
  <si>
    <r>
      <rPr>
        <b/>
        <sz val="10"/>
        <color indexed="8"/>
        <rFont val="Arial"/>
        <family val="2"/>
      </rPr>
      <t>EP2</t>
    </r>
  </si>
  <si>
    <r>
      <rPr>
        <b/>
        <sz val="10"/>
        <color indexed="8"/>
        <rFont val="Arial"/>
        <family val="2"/>
      </rPr>
      <t>EP1</t>
    </r>
  </si>
  <si>
    <r>
      <rPr>
        <b/>
        <sz val="10"/>
        <color indexed="8"/>
        <rFont val="Arial"/>
        <family val="2"/>
      </rPr>
      <t>D8</t>
    </r>
  </si>
  <si>
    <r>
      <rPr>
        <b/>
        <sz val="10"/>
        <color indexed="8"/>
        <rFont val="Arial"/>
        <family val="2"/>
      </rPr>
      <t>D7</t>
    </r>
  </si>
  <si>
    <r>
      <rPr>
        <b/>
        <sz val="10"/>
        <color indexed="8"/>
        <rFont val="Arial"/>
        <family val="2"/>
      </rPr>
      <t>D6</t>
    </r>
  </si>
  <si>
    <r>
      <rPr>
        <b/>
        <sz val="10"/>
        <color indexed="8"/>
        <rFont val="Arial"/>
        <family val="2"/>
      </rPr>
      <t>D5</t>
    </r>
  </si>
  <si>
    <r>
      <rPr>
        <b/>
        <sz val="10"/>
        <color indexed="8"/>
        <rFont val="Arial"/>
        <family val="2"/>
      </rPr>
      <t>D4</t>
    </r>
  </si>
  <si>
    <r>
      <rPr>
        <b/>
        <sz val="10"/>
        <color indexed="8"/>
        <rFont val="Arial"/>
        <family val="2"/>
      </rPr>
      <t>D3</t>
    </r>
  </si>
  <si>
    <r>
      <rPr>
        <b/>
        <sz val="10"/>
        <color indexed="8"/>
        <rFont val="Arial"/>
        <family val="2"/>
      </rPr>
      <t>D2</t>
    </r>
  </si>
  <si>
    <r>
      <rPr>
        <b/>
        <sz val="10"/>
        <color indexed="8"/>
        <rFont val="Arial"/>
        <family val="2"/>
      </rPr>
      <t>D1</t>
    </r>
  </si>
  <si>
    <r>
      <rPr>
        <b/>
        <sz val="10"/>
        <color indexed="8"/>
        <rFont val="Arial"/>
        <family val="2"/>
      </rPr>
      <t>C8</t>
    </r>
  </si>
  <si>
    <r>
      <rPr>
        <b/>
        <sz val="10"/>
        <color indexed="8"/>
        <rFont val="Arial"/>
        <family val="2"/>
      </rPr>
      <t>C7</t>
    </r>
  </si>
  <si>
    <r>
      <rPr>
        <b/>
        <sz val="10"/>
        <color indexed="8"/>
        <rFont val="Arial"/>
        <family val="2"/>
      </rPr>
      <t>C6</t>
    </r>
  </si>
  <si>
    <r>
      <rPr>
        <b/>
        <sz val="10"/>
        <color indexed="8"/>
        <rFont val="Arial"/>
        <family val="2"/>
      </rPr>
      <t>C5</t>
    </r>
  </si>
  <si>
    <r>
      <rPr>
        <b/>
        <sz val="10"/>
        <color indexed="8"/>
        <rFont val="Arial"/>
        <family val="2"/>
      </rPr>
      <t>C4</t>
    </r>
  </si>
  <si>
    <r>
      <rPr>
        <b/>
        <sz val="10"/>
        <color indexed="8"/>
        <rFont val="Arial"/>
        <family val="2"/>
      </rPr>
      <t>C3</t>
    </r>
  </si>
  <si>
    <r>
      <rPr>
        <b/>
        <sz val="10"/>
        <color indexed="8"/>
        <rFont val="Arial"/>
        <family val="2"/>
      </rPr>
      <t>C2</t>
    </r>
  </si>
  <si>
    <r>
      <rPr>
        <b/>
        <sz val="10"/>
        <color indexed="8"/>
        <rFont val="Arial"/>
        <family val="2"/>
      </rPr>
      <t>C1</t>
    </r>
  </si>
  <si>
    <t>B7</t>
  </si>
  <si>
    <t>B6</t>
  </si>
  <si>
    <t>B5</t>
  </si>
  <si>
    <t>B4</t>
  </si>
  <si>
    <t>B3</t>
  </si>
  <si>
    <t>B2</t>
  </si>
  <si>
    <t>B1</t>
  </si>
  <si>
    <t>CEL</t>
  </si>
  <si>
    <t>Oneri</t>
  </si>
  <si>
    <t>EP</t>
  </si>
  <si>
    <t>BCD</t>
  </si>
  <si>
    <t>Retr. Pos. Per 13 mens</t>
  </si>
  <si>
    <t>Tot. Ass. Fissi</t>
  </si>
  <si>
    <t>Ind. di ateneo</t>
  </si>
  <si>
    <t>13ma</t>
  </si>
  <si>
    <t>IIS</t>
  </si>
  <si>
    <t>IRAP su Tot Ass Fissi</t>
  </si>
  <si>
    <t>COSTO DEL PERSONALE CON IVC (2022-24 e aprile-giugno 25) da 01/07/25 - NEOASSUNTI</t>
  </si>
  <si>
    <t>IVC FINO MAR25</t>
  </si>
  <si>
    <t>IVC APR-GIU25</t>
  </si>
  <si>
    <t>IVC DA LUG25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</si>
</sst>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10202"/>
      <name val="Arial"/>
      <family val="2"/>
    </font>
    <font>
      <sz val="10"/>
      <color theme="1"/>
      <name val="Arial"/>
    </font>
    <font>
      <b/>
      <sz val="10"/>
      <color rgb="FFFF0000"/>
      <name val="Arial"/>
      <family val="2"/>
    </font>
    <font>
      <i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vertical="center"/>
    </xf>
    <xf numFmtId="4" fontId="0" fillId="3" borderId="9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horizontal="right" vertical="center"/>
    </xf>
    <xf numFmtId="4" fontId="0" fillId="3" borderId="10" xfId="0" applyNumberForma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0" fillId="3" borderId="6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4" fontId="0" fillId="3" borderId="6" xfId="0" applyNumberForma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0" fillId="0" borderId="16" xfId="0" applyNumberFormat="1" applyBorder="1" applyAlignment="1">
      <alignment vertical="center" wrapText="1"/>
    </xf>
    <xf numFmtId="4" fontId="0" fillId="3" borderId="16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vertical="center"/>
    </xf>
    <xf numFmtId="4" fontId="0" fillId="3" borderId="18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vertical="center"/>
    </xf>
    <xf numFmtId="4" fontId="0" fillId="4" borderId="21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horizontal="center" vertical="center"/>
    </xf>
    <xf numFmtId="4" fontId="0" fillId="4" borderId="6" xfId="0" applyNumberFormat="1" applyFill="1" applyBorder="1" applyAlignment="1">
      <alignment vertical="center"/>
    </xf>
    <xf numFmtId="4" fontId="0" fillId="4" borderId="22" xfId="0" applyNumberFormat="1" applyFill="1" applyBorder="1" applyAlignment="1">
      <alignment vertical="center"/>
    </xf>
    <xf numFmtId="4" fontId="0" fillId="4" borderId="23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horizontal="right" vertical="center"/>
    </xf>
    <xf numFmtId="4" fontId="0" fillId="4" borderId="13" xfId="0" applyNumberFormat="1" applyFill="1" applyBorder="1" applyAlignment="1">
      <alignment vertical="center"/>
    </xf>
    <xf numFmtId="4" fontId="0" fillId="4" borderId="16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vertical="center"/>
    </xf>
    <xf numFmtId="4" fontId="0" fillId="4" borderId="24" xfId="0" applyNumberFormat="1" applyFill="1" applyBorder="1" applyAlignment="1">
      <alignment vertical="center"/>
    </xf>
    <xf numFmtId="4" fontId="0" fillId="4" borderId="25" xfId="0" applyNumberFormat="1" applyFill="1" applyBorder="1" applyAlignment="1">
      <alignment vertical="center"/>
    </xf>
    <xf numFmtId="4" fontId="0" fillId="4" borderId="16" xfId="0" applyNumberFormat="1" applyFill="1" applyBorder="1" applyAlignment="1">
      <alignment horizontal="right" vertical="center"/>
    </xf>
    <xf numFmtId="4" fontId="0" fillId="4" borderId="19" xfId="0" applyNumberFormat="1" applyFill="1" applyBorder="1" applyAlignment="1">
      <alignment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vertical="center"/>
    </xf>
    <xf numFmtId="4" fontId="0" fillId="5" borderId="26" xfId="0" applyNumberFormat="1" applyFill="1" applyBorder="1" applyAlignment="1">
      <alignment vertical="center"/>
    </xf>
    <xf numFmtId="4" fontId="0" fillId="5" borderId="2" xfId="0" applyNumberFormat="1" applyFill="1" applyBorder="1" applyAlignment="1">
      <alignment vertical="center"/>
    </xf>
    <xf numFmtId="4" fontId="0" fillId="5" borderId="8" xfId="0" applyNumberFormat="1" applyFill="1" applyBorder="1" applyAlignment="1">
      <alignment horizontal="right" vertical="center"/>
    </xf>
    <xf numFmtId="4" fontId="0" fillId="5" borderId="10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4" fontId="0" fillId="5" borderId="23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horizontal="right" vertical="center"/>
    </xf>
    <xf numFmtId="4" fontId="0" fillId="5" borderId="13" xfId="0" applyNumberFormat="1" applyFill="1" applyBorder="1" applyAlignment="1">
      <alignment vertical="center"/>
    </xf>
    <xf numFmtId="4" fontId="0" fillId="5" borderId="16" xfId="0" applyNumberFormat="1" applyFill="1" applyBorder="1" applyAlignment="1">
      <alignment horizontal="center" vertical="center"/>
    </xf>
    <xf numFmtId="4" fontId="0" fillId="5" borderId="16" xfId="0" applyNumberFormat="1" applyFill="1" applyBorder="1" applyAlignment="1">
      <alignment vertical="center"/>
    </xf>
    <xf numFmtId="4" fontId="0" fillId="5" borderId="18" xfId="0" applyNumberFormat="1" applyFill="1" applyBorder="1" applyAlignment="1">
      <alignment vertical="center"/>
    </xf>
    <xf numFmtId="4" fontId="0" fillId="5" borderId="25" xfId="0" applyNumberFormat="1" applyFill="1" applyBorder="1" applyAlignment="1">
      <alignment vertical="center"/>
    </xf>
    <xf numFmtId="4" fontId="0" fillId="5" borderId="16" xfId="0" applyNumberFormat="1" applyFill="1" applyBorder="1" applyAlignment="1">
      <alignment horizontal="right" vertical="center"/>
    </xf>
    <xf numFmtId="4" fontId="0" fillId="5" borderId="19" xfId="0" applyNumberFormat="1" applyFill="1" applyBorder="1" applyAlignment="1">
      <alignment vertical="center"/>
    </xf>
    <xf numFmtId="4" fontId="0" fillId="6" borderId="8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vertical="center"/>
    </xf>
    <xf numFmtId="4" fontId="0" fillId="6" borderId="26" xfId="0" applyNumberFormat="1" applyFill="1" applyBorder="1" applyAlignment="1">
      <alignment vertical="center"/>
    </xf>
    <xf numFmtId="4" fontId="0" fillId="6" borderId="2" xfId="0" applyNumberFormat="1" applyFill="1" applyBorder="1" applyAlignment="1">
      <alignment vertical="center"/>
    </xf>
    <xf numFmtId="4" fontId="0" fillId="6" borderId="8" xfId="0" applyNumberFormat="1" applyFill="1" applyBorder="1" applyAlignment="1">
      <alignment horizontal="right" vertical="center"/>
    </xf>
    <xf numFmtId="4" fontId="0" fillId="6" borderId="10" xfId="0" applyNumberFormat="1" applyFill="1" applyBorder="1" applyAlignment="1">
      <alignment vertical="center"/>
    </xf>
    <xf numFmtId="4" fontId="0" fillId="6" borderId="6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vertical="center"/>
    </xf>
    <xf numFmtId="4" fontId="0" fillId="6" borderId="0" xfId="0" applyNumberFormat="1" applyFill="1" applyAlignment="1">
      <alignment vertical="center"/>
    </xf>
    <xf numFmtId="4" fontId="0" fillId="6" borderId="23" xfId="0" applyNumberFormat="1" applyFill="1" applyBorder="1" applyAlignment="1">
      <alignment vertical="center"/>
    </xf>
    <xf numFmtId="4" fontId="0" fillId="6" borderId="6" xfId="0" applyNumberFormat="1" applyFill="1" applyBorder="1" applyAlignment="1">
      <alignment horizontal="right" vertical="center"/>
    </xf>
    <xf numFmtId="4" fontId="0" fillId="6" borderId="13" xfId="0" applyNumberFormat="1" applyFill="1" applyBorder="1" applyAlignment="1">
      <alignment vertical="center"/>
    </xf>
    <xf numFmtId="4" fontId="3" fillId="0" borderId="16" xfId="0" applyNumberFormat="1" applyFont="1" applyBorder="1" applyAlignment="1">
      <alignment vertical="center" wrapText="1"/>
    </xf>
    <xf numFmtId="4" fontId="0" fillId="6" borderId="16" xfId="0" applyNumberFormat="1" applyFill="1" applyBorder="1" applyAlignment="1">
      <alignment horizontal="center" vertical="center"/>
    </xf>
    <xf numFmtId="4" fontId="0" fillId="6" borderId="16" xfId="0" applyNumberFormat="1" applyFill="1" applyBorder="1" applyAlignment="1">
      <alignment vertical="center"/>
    </xf>
    <xf numFmtId="4" fontId="0" fillId="6" borderId="18" xfId="0" applyNumberFormat="1" applyFill="1" applyBorder="1" applyAlignment="1">
      <alignment vertical="center"/>
    </xf>
    <xf numFmtId="4" fontId="0" fillId="6" borderId="25" xfId="0" applyNumberFormat="1" applyFill="1" applyBorder="1" applyAlignment="1">
      <alignment vertical="center"/>
    </xf>
    <xf numFmtId="4" fontId="0" fillId="6" borderId="16" xfId="0" applyNumberFormat="1" applyFill="1" applyBorder="1" applyAlignment="1">
      <alignment horizontal="right" vertical="center"/>
    </xf>
    <xf numFmtId="4" fontId="0" fillId="6" borderId="19" xfId="0" applyNumberFormat="1" applyFill="1" applyBorder="1" applyAlignment="1">
      <alignment vertical="center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3" borderId="28" xfId="0" applyFont="1" applyFill="1" applyBorder="1" applyAlignment="1">
      <alignment vertical="center" wrapText="1"/>
    </xf>
    <xf numFmtId="4" fontId="7" fillId="3" borderId="27" xfId="0" applyNumberFormat="1" applyFont="1" applyFill="1" applyBorder="1" applyAlignment="1">
      <alignment vertical="center"/>
    </xf>
    <xf numFmtId="4" fontId="0" fillId="3" borderId="27" xfId="0" applyNumberFormat="1" applyFill="1" applyBorder="1" applyAlignment="1">
      <alignment horizontal="center" vertical="center"/>
    </xf>
    <xf numFmtId="4" fontId="0" fillId="3" borderId="27" xfId="0" applyNumberFormat="1" applyFill="1" applyBorder="1" applyAlignment="1">
      <alignment vertical="center"/>
    </xf>
    <xf numFmtId="0" fontId="5" fillId="3" borderId="29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4" fontId="7" fillId="4" borderId="27" xfId="0" applyNumberFormat="1" applyFont="1" applyFill="1" applyBorder="1" applyAlignment="1">
      <alignment vertical="center"/>
    </xf>
    <xf numFmtId="4" fontId="0" fillId="4" borderId="27" xfId="0" applyNumberFormat="1" applyFill="1" applyBorder="1" applyAlignment="1">
      <alignment horizontal="center" vertical="center"/>
    </xf>
    <xf numFmtId="4" fontId="0" fillId="4" borderId="27" xfId="0" applyNumberFormat="1" applyFill="1" applyBorder="1" applyAlignment="1">
      <alignment vertical="center"/>
    </xf>
    <xf numFmtId="0" fontId="5" fillId="4" borderId="29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4" fontId="7" fillId="5" borderId="27" xfId="0" applyNumberFormat="1" applyFont="1" applyFill="1" applyBorder="1" applyAlignment="1">
      <alignment vertical="center"/>
    </xf>
    <xf numFmtId="4" fontId="0" fillId="5" borderId="27" xfId="0" applyNumberFormat="1" applyFill="1" applyBorder="1" applyAlignment="1">
      <alignment horizontal="center" vertical="center"/>
    </xf>
    <xf numFmtId="4" fontId="0" fillId="5" borderId="27" xfId="0" applyNumberFormat="1" applyFill="1" applyBorder="1" applyAlignment="1">
      <alignment vertical="center"/>
    </xf>
    <xf numFmtId="0" fontId="5" fillId="5" borderId="29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vertical="center" wrapText="1"/>
    </xf>
    <xf numFmtId="4" fontId="7" fillId="6" borderId="27" xfId="0" applyNumberFormat="1" applyFont="1" applyFill="1" applyBorder="1" applyAlignment="1">
      <alignment vertical="center"/>
    </xf>
    <xf numFmtId="4" fontId="0" fillId="6" borderId="27" xfId="0" applyNumberFormat="1" applyFill="1" applyBorder="1" applyAlignment="1">
      <alignment horizontal="center" vertical="center"/>
    </xf>
    <xf numFmtId="4" fontId="0" fillId="6" borderId="27" xfId="0" applyNumberFormat="1" applyFill="1" applyBorder="1" applyAlignment="1">
      <alignment vertical="center"/>
    </xf>
    <xf numFmtId="0" fontId="6" fillId="6" borderId="29" xfId="0" applyFont="1" applyFill="1" applyBorder="1" applyAlignment="1">
      <alignment vertical="center" wrapText="1"/>
    </xf>
    <xf numFmtId="4" fontId="4" fillId="7" borderId="2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0" fillId="0" borderId="6" xfId="0" applyNumberFormat="1" applyBorder="1"/>
    <xf numFmtId="0" fontId="5" fillId="2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2" fontId="0" fillId="8" borderId="6" xfId="0" applyNumberFormat="1" applyFill="1" applyBorder="1"/>
    <xf numFmtId="0" fontId="0" fillId="8" borderId="0" xfId="0" applyFill="1"/>
    <xf numFmtId="0" fontId="6" fillId="2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0" fontId="4" fillId="0" borderId="6" xfId="0" applyNumberFormat="1" applyFon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2" borderId="23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4" fontId="0" fillId="6" borderId="17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4" fontId="0" fillId="6" borderId="16" xfId="0" applyNumberForma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7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4" fontId="0" fillId="5" borderId="9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4" fontId="0" fillId="5" borderId="17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690B-E8A4-4704-A0DE-9C1B6E43E19C}">
  <dimension ref="A1:AA42"/>
  <sheetViews>
    <sheetView workbookViewId="0">
      <selection activeCell="V31" sqref="V31"/>
    </sheetView>
  </sheetViews>
  <sheetFormatPr defaultRowHeight="12.75" x14ac:dyDescent="0.2"/>
  <cols>
    <col min="1" max="1" width="18.42578125" customWidth="1"/>
    <col min="2" max="2" width="10.85546875" customWidth="1"/>
    <col min="4" max="4" width="11.85546875" customWidth="1"/>
    <col min="14" max="14" width="16.42578125" customWidth="1"/>
    <col min="19" max="19" width="22.140625" bestFit="1" customWidth="1"/>
  </cols>
  <sheetData>
    <row r="1" spans="1:27" ht="18.75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x14ac:dyDescent="0.2">
      <c r="A2" s="4" t="s">
        <v>50</v>
      </c>
      <c r="B2" s="4"/>
      <c r="C2" s="4"/>
      <c r="D2" s="4"/>
      <c r="E2" s="4"/>
      <c r="F2" s="2"/>
      <c r="G2" s="4"/>
      <c r="H2" s="2"/>
      <c r="I2" s="2"/>
      <c r="J2" s="4"/>
      <c r="K2" s="4"/>
      <c r="L2" s="4"/>
      <c r="M2" s="4"/>
      <c r="N2" s="2"/>
      <c r="O2" s="2"/>
      <c r="P2" s="2"/>
      <c r="Q2" s="2"/>
      <c r="R2" s="2"/>
      <c r="S2" s="2"/>
    </row>
    <row r="3" spans="1:27" ht="13.5" thickBot="1" x14ac:dyDescent="0.25">
      <c r="A3" s="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X3" s="123" t="s">
        <v>96</v>
      </c>
      <c r="Y3" s="124" t="s">
        <v>97</v>
      </c>
      <c r="Z3" s="125" t="s">
        <v>98</v>
      </c>
      <c r="AA3" s="3"/>
    </row>
    <row r="4" spans="1:27" ht="77.25" thickBot="1" x14ac:dyDescent="0.25">
      <c r="A4" s="6" t="s">
        <v>1</v>
      </c>
      <c r="B4" s="7"/>
      <c r="C4" s="8" t="s">
        <v>2</v>
      </c>
      <c r="D4" s="8" t="s">
        <v>3</v>
      </c>
      <c r="E4" s="8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/>
      <c r="N4" s="7" t="s">
        <v>12</v>
      </c>
      <c r="O4" s="7" t="s">
        <v>13</v>
      </c>
      <c r="P4" s="7" t="s">
        <v>14</v>
      </c>
      <c r="Q4" s="7" t="s">
        <v>15</v>
      </c>
      <c r="R4" s="9" t="s">
        <v>16</v>
      </c>
      <c r="S4" s="10" t="s">
        <v>1</v>
      </c>
      <c r="X4" s="126" t="s">
        <v>6</v>
      </c>
      <c r="Y4" s="127">
        <v>0.34239999999999998</v>
      </c>
      <c r="Z4" s="165">
        <v>0.29880000000000001</v>
      </c>
      <c r="AA4" s="129"/>
    </row>
    <row r="5" spans="1:27" x14ac:dyDescent="0.2">
      <c r="A5" s="144" t="s">
        <v>17</v>
      </c>
      <c r="B5" s="11" t="s">
        <v>18</v>
      </c>
      <c r="C5" s="166">
        <v>26890.05</v>
      </c>
      <c r="D5" s="12">
        <v>11018.27</v>
      </c>
      <c r="E5" s="12">
        <v>1459.92</v>
      </c>
      <c r="F5" s="13">
        <v>6818.23</v>
      </c>
      <c r="G5" s="13">
        <f>$C$5+D5+E5-F5</f>
        <v>32550.01</v>
      </c>
      <c r="H5" s="169">
        <v>3359.4</v>
      </c>
      <c r="I5" s="14">
        <v>912.37000000000035</v>
      </c>
      <c r="J5" s="169">
        <v>3099</v>
      </c>
      <c r="K5" s="169">
        <f>ROUND((C5)/12,2)</f>
        <v>2240.84</v>
      </c>
      <c r="L5" s="15">
        <f>ROUND((D5+E5)/12,2)</f>
        <v>1039.8499999999999</v>
      </c>
      <c r="M5" s="12"/>
      <c r="N5" s="13">
        <f t="shared" ref="N5:N12" si="0">$C$5+D5+E5+$H$5+I5+$J$5+$K$5+L5</f>
        <v>50019.700000000004</v>
      </c>
      <c r="O5" s="13">
        <f>ROUND(G5*$Y$4+$J$5*$Y$5+($H$5+I5)*$Y$6+($K$5+L5)*$Y$7+F5*$Y$8,2)</f>
        <v>16189.04</v>
      </c>
      <c r="P5" s="13">
        <f>ROUND(N5*8.5%,0)</f>
        <v>4252</v>
      </c>
      <c r="Q5" s="13">
        <f>N5+O5+P5</f>
        <v>70460.740000000005</v>
      </c>
      <c r="R5" s="16">
        <f>O5+P5</f>
        <v>20441.04</v>
      </c>
      <c r="S5" s="172" t="s">
        <v>17</v>
      </c>
      <c r="X5" s="130" t="s">
        <v>99</v>
      </c>
      <c r="Y5" s="128">
        <v>0.24199999999999999</v>
      </c>
      <c r="Z5" s="165"/>
      <c r="AA5" s="125" t="s">
        <v>100</v>
      </c>
    </row>
    <row r="6" spans="1:27" x14ac:dyDescent="0.2">
      <c r="A6" s="145"/>
      <c r="B6" s="17" t="s">
        <v>19</v>
      </c>
      <c r="C6" s="167"/>
      <c r="D6" s="18">
        <v>9918.27</v>
      </c>
      <c r="E6" s="18">
        <v>1417.4160000000002</v>
      </c>
      <c r="F6" s="19">
        <v>6818.23</v>
      </c>
      <c r="G6" s="19">
        <f t="shared" ref="G6:G12" si="1">$C$5+D6+E6-F6</f>
        <v>31407.505999999998</v>
      </c>
      <c r="H6" s="170"/>
      <c r="I6" s="20">
        <v>912.37000000000035</v>
      </c>
      <c r="J6" s="170"/>
      <c r="K6" s="170"/>
      <c r="L6" s="21">
        <f t="shared" ref="L6:L32" si="2">ROUND((D6+E6)/12,2)</f>
        <v>944.64</v>
      </c>
      <c r="M6" s="18"/>
      <c r="N6" s="19">
        <f t="shared" si="0"/>
        <v>48781.986000000004</v>
      </c>
      <c r="O6" s="19">
        <f t="shared" ref="O6:O11" si="3">ROUND(G6*$Y$4+$J$5*$Y$5+($H$5+I6)*$Y$6+($K$5+L6)*$Y$7+F6*$Y$8,2)</f>
        <v>15769.4</v>
      </c>
      <c r="P6" s="19">
        <f t="shared" ref="P6:P12" si="4">ROUND(N6*8.5%,0)</f>
        <v>4146</v>
      </c>
      <c r="Q6" s="19">
        <f t="shared" ref="Q6:Q12" si="5">N6+O6+P6</f>
        <v>68697.385999999999</v>
      </c>
      <c r="R6" s="22">
        <f t="shared" ref="R6:R12" si="6">O6+P6</f>
        <v>19915.400000000001</v>
      </c>
      <c r="S6" s="173"/>
      <c r="X6" s="130" t="s">
        <v>101</v>
      </c>
      <c r="Y6" s="128">
        <v>0.29880000000000001</v>
      </c>
      <c r="Z6" s="165"/>
      <c r="AA6" s="3"/>
    </row>
    <row r="7" spans="1:27" x14ac:dyDescent="0.2">
      <c r="A7" s="145"/>
      <c r="B7" s="23" t="s">
        <v>20</v>
      </c>
      <c r="C7" s="167"/>
      <c r="D7" s="18">
        <v>8508.8999999999978</v>
      </c>
      <c r="E7" s="18">
        <v>1362.9</v>
      </c>
      <c r="F7" s="19">
        <v>6818.23</v>
      </c>
      <c r="G7" s="19">
        <f t="shared" si="1"/>
        <v>29943.62</v>
      </c>
      <c r="H7" s="170"/>
      <c r="I7" s="20">
        <v>912.37000000000035</v>
      </c>
      <c r="J7" s="170"/>
      <c r="K7" s="170"/>
      <c r="L7" s="21">
        <f t="shared" si="2"/>
        <v>822.65</v>
      </c>
      <c r="M7" s="18"/>
      <c r="N7" s="19">
        <f t="shared" si="0"/>
        <v>47196.110000000008</v>
      </c>
      <c r="O7" s="19">
        <f t="shared" si="3"/>
        <v>15231.72</v>
      </c>
      <c r="P7" s="19">
        <f t="shared" si="4"/>
        <v>4012</v>
      </c>
      <c r="Q7" s="19">
        <f t="shared" si="5"/>
        <v>66439.830000000016</v>
      </c>
      <c r="R7" s="22">
        <f t="shared" si="6"/>
        <v>19243.72</v>
      </c>
      <c r="S7" s="173"/>
      <c r="X7" s="130" t="s">
        <v>102</v>
      </c>
      <c r="Y7" s="128">
        <v>0.29880000000000001</v>
      </c>
      <c r="Z7" s="165"/>
      <c r="AA7" s="3"/>
    </row>
    <row r="8" spans="1:27" x14ac:dyDescent="0.2">
      <c r="A8" s="145"/>
      <c r="B8" s="23" t="s">
        <v>21</v>
      </c>
      <c r="C8" s="167"/>
      <c r="D8" s="18">
        <v>7159.0000000000036</v>
      </c>
      <c r="E8" s="18">
        <v>1311.1559999999999</v>
      </c>
      <c r="F8" s="19">
        <v>6818.23</v>
      </c>
      <c r="G8" s="19">
        <f t="shared" si="1"/>
        <v>28541.976000000006</v>
      </c>
      <c r="H8" s="170"/>
      <c r="I8" s="20">
        <v>912.37000000000035</v>
      </c>
      <c r="J8" s="170"/>
      <c r="K8" s="170"/>
      <c r="L8" s="21">
        <f t="shared" si="2"/>
        <v>705.85</v>
      </c>
      <c r="M8" s="18"/>
      <c r="N8" s="19">
        <f t="shared" si="0"/>
        <v>45677.666000000005</v>
      </c>
      <c r="O8" s="19">
        <f t="shared" si="3"/>
        <v>14716.89</v>
      </c>
      <c r="P8" s="19">
        <f t="shared" si="4"/>
        <v>3883</v>
      </c>
      <c r="Q8" s="19">
        <f t="shared" si="5"/>
        <v>64277.556000000004</v>
      </c>
      <c r="R8" s="22">
        <f t="shared" si="6"/>
        <v>18599.89</v>
      </c>
      <c r="S8" s="173"/>
      <c r="X8" s="130" t="s">
        <v>103</v>
      </c>
      <c r="Y8" s="128">
        <v>0.29880000000000001</v>
      </c>
      <c r="Z8" s="165"/>
      <c r="AA8" s="3"/>
    </row>
    <row r="9" spans="1:27" x14ac:dyDescent="0.2">
      <c r="A9" s="145"/>
      <c r="B9" s="17" t="s">
        <v>22</v>
      </c>
      <c r="C9" s="167"/>
      <c r="D9" s="18">
        <v>5702.619999999999</v>
      </c>
      <c r="E9" s="18">
        <v>1254.7919999999999</v>
      </c>
      <c r="F9" s="19">
        <v>6818.23</v>
      </c>
      <c r="G9" s="19">
        <f t="shared" si="1"/>
        <v>27029.232</v>
      </c>
      <c r="H9" s="170"/>
      <c r="I9" s="20">
        <v>912.37000000000035</v>
      </c>
      <c r="J9" s="170"/>
      <c r="K9" s="170"/>
      <c r="L9" s="21">
        <f t="shared" si="2"/>
        <v>579.78</v>
      </c>
      <c r="M9" s="18"/>
      <c r="N9" s="19">
        <f t="shared" si="0"/>
        <v>44038.851999999999</v>
      </c>
      <c r="O9" s="19">
        <f t="shared" si="3"/>
        <v>14161.26</v>
      </c>
      <c r="P9" s="19">
        <f t="shared" si="4"/>
        <v>3743</v>
      </c>
      <c r="Q9" s="19">
        <f t="shared" si="5"/>
        <v>61943.112000000001</v>
      </c>
      <c r="R9" s="22">
        <f t="shared" si="6"/>
        <v>17904.260000000002</v>
      </c>
      <c r="S9" s="173"/>
      <c r="X9" s="130" t="s">
        <v>104</v>
      </c>
      <c r="Y9" s="128">
        <v>8.5000000000000006E-2</v>
      </c>
      <c r="Z9" s="128">
        <v>8.5000000000000006E-2</v>
      </c>
      <c r="AA9" s="3"/>
    </row>
    <row r="10" spans="1:27" x14ac:dyDescent="0.2">
      <c r="A10" s="145"/>
      <c r="B10" s="23" t="s">
        <v>23</v>
      </c>
      <c r="C10" s="167"/>
      <c r="D10" s="18">
        <v>3318.7299999999996</v>
      </c>
      <c r="E10" s="18">
        <v>1163.316</v>
      </c>
      <c r="F10" s="19">
        <v>6682.26</v>
      </c>
      <c r="G10" s="19">
        <f t="shared" si="1"/>
        <v>24689.835999999996</v>
      </c>
      <c r="H10" s="170"/>
      <c r="I10" s="24"/>
      <c r="J10" s="167"/>
      <c r="K10" s="170"/>
      <c r="L10" s="21">
        <f t="shared" si="2"/>
        <v>373.5</v>
      </c>
      <c r="M10" s="18"/>
      <c r="N10" s="19">
        <f t="shared" si="0"/>
        <v>40444.835999999996</v>
      </c>
      <c r="O10" s="19">
        <f t="shared" si="3"/>
        <v>12985.37</v>
      </c>
      <c r="P10" s="19">
        <f t="shared" si="4"/>
        <v>3438</v>
      </c>
      <c r="Q10" s="19">
        <f t="shared" si="5"/>
        <v>56868.205999999998</v>
      </c>
      <c r="R10" s="22">
        <f t="shared" si="6"/>
        <v>16423.370000000003</v>
      </c>
      <c r="S10" s="173"/>
    </row>
    <row r="11" spans="1:27" x14ac:dyDescent="0.2">
      <c r="A11" s="145"/>
      <c r="B11" s="23" t="s">
        <v>24</v>
      </c>
      <c r="C11" s="167"/>
      <c r="D11" s="18">
        <v>1703.3899999999994</v>
      </c>
      <c r="E11" s="18">
        <v>1100.4839999999999</v>
      </c>
      <c r="F11" s="19">
        <v>6682.26</v>
      </c>
      <c r="G11" s="19">
        <f t="shared" si="1"/>
        <v>23011.663999999997</v>
      </c>
      <c r="H11" s="170"/>
      <c r="I11" s="24"/>
      <c r="J11" s="167"/>
      <c r="K11" s="170"/>
      <c r="L11" s="21">
        <f t="shared" si="2"/>
        <v>233.66</v>
      </c>
      <c r="M11" s="18"/>
      <c r="N11" s="19">
        <f t="shared" si="0"/>
        <v>38626.824000000008</v>
      </c>
      <c r="O11" s="19">
        <f t="shared" si="3"/>
        <v>12368.98</v>
      </c>
      <c r="P11" s="19">
        <f t="shared" si="4"/>
        <v>3283</v>
      </c>
      <c r="Q11" s="19">
        <f t="shared" si="5"/>
        <v>54278.804000000004</v>
      </c>
      <c r="R11" s="22">
        <f t="shared" si="6"/>
        <v>15651.98</v>
      </c>
      <c r="S11" s="173"/>
    </row>
    <row r="12" spans="1:27" ht="13.5" thickBot="1" x14ac:dyDescent="0.25">
      <c r="A12" s="146"/>
      <c r="B12" s="25" t="s">
        <v>25</v>
      </c>
      <c r="C12" s="168"/>
      <c r="D12" s="26">
        <v>0</v>
      </c>
      <c r="E12" s="26">
        <v>1034.8799999999999</v>
      </c>
      <c r="F12" s="27">
        <v>6682.26</v>
      </c>
      <c r="G12" s="27">
        <f t="shared" si="1"/>
        <v>21242.67</v>
      </c>
      <c r="H12" s="171"/>
      <c r="I12" s="28"/>
      <c r="J12" s="168"/>
      <c r="K12" s="171"/>
      <c r="L12" s="29">
        <f t="shared" si="2"/>
        <v>86.24</v>
      </c>
      <c r="M12" s="26"/>
      <c r="N12" s="27">
        <f t="shared" si="0"/>
        <v>36710.409999999996</v>
      </c>
      <c r="O12" s="27">
        <f>ROUND(G12*$Y$4+$J$5*$Y$5+($H$5+I12)*$Y$6+($K$5+L12)*$Y$7+F12*$Y$8,2)</f>
        <v>11719.23</v>
      </c>
      <c r="P12" s="27">
        <f t="shared" si="4"/>
        <v>3120</v>
      </c>
      <c r="Q12" s="27">
        <f t="shared" si="5"/>
        <v>51549.64</v>
      </c>
      <c r="R12" s="30">
        <f t="shared" si="6"/>
        <v>14839.23</v>
      </c>
      <c r="S12" s="174"/>
    </row>
    <row r="13" spans="1:27" x14ac:dyDescent="0.2">
      <c r="A13" s="144" t="s">
        <v>26</v>
      </c>
      <c r="B13" s="11" t="s">
        <v>27</v>
      </c>
      <c r="C13" s="147">
        <v>23902.47</v>
      </c>
      <c r="D13" s="31">
        <v>7159.59</v>
      </c>
      <c r="E13" s="31">
        <v>1195.6559999999999</v>
      </c>
      <c r="F13" s="32">
        <v>6545.24</v>
      </c>
      <c r="G13" s="32">
        <f>$C$13+D13+E13-F13</f>
        <v>25712.476000000002</v>
      </c>
      <c r="H13" s="150">
        <v>2842.16</v>
      </c>
      <c r="I13" s="33"/>
      <c r="J13" s="34"/>
      <c r="K13" s="150">
        <f>ROUND((C13)/12,2)</f>
        <v>1991.87</v>
      </c>
      <c r="L13" s="35">
        <f t="shared" si="2"/>
        <v>696.27</v>
      </c>
      <c r="M13" s="32"/>
      <c r="N13" s="32">
        <f t="shared" ref="N13:N20" si="7">$C$13+D13+E13+$H$13+I13+$J$13+$K$13+L13</f>
        <v>37788.016000000003</v>
      </c>
      <c r="O13" s="32">
        <f>ROUND((N13)*$Z$4,2)</f>
        <v>11291.06</v>
      </c>
      <c r="P13" s="32">
        <f>ROUND(N13*8.5%,0)</f>
        <v>3212</v>
      </c>
      <c r="Q13" s="32">
        <f>N13+O13+P13</f>
        <v>52291.076000000001</v>
      </c>
      <c r="R13" s="36">
        <f>O13+P13</f>
        <v>14503.06</v>
      </c>
      <c r="S13" s="153" t="s">
        <v>26</v>
      </c>
    </row>
    <row r="14" spans="1:27" x14ac:dyDescent="0.2">
      <c r="A14" s="145"/>
      <c r="B14" s="17" t="s">
        <v>28</v>
      </c>
      <c r="C14" s="148"/>
      <c r="D14" s="37">
        <v>6259.59</v>
      </c>
      <c r="E14" s="37">
        <v>1161.4680000000003</v>
      </c>
      <c r="F14" s="38">
        <v>6545.24</v>
      </c>
      <c r="G14" s="38">
        <f t="shared" ref="G14:G20" si="8">$C$13+D14+E14-F14</f>
        <v>24778.288</v>
      </c>
      <c r="H14" s="151"/>
      <c r="I14" s="39"/>
      <c r="J14" s="40"/>
      <c r="K14" s="151"/>
      <c r="L14" s="41">
        <f t="shared" si="2"/>
        <v>618.41999999999996</v>
      </c>
      <c r="M14" s="38"/>
      <c r="N14" s="38">
        <f t="shared" si="7"/>
        <v>36775.978000000003</v>
      </c>
      <c r="O14" s="38">
        <f t="shared" ref="O14:O32" si="9">ROUND((N14)*$Z$4,2)</f>
        <v>10988.66</v>
      </c>
      <c r="P14" s="38">
        <f t="shared" ref="P14:P20" si="10">ROUND(N14*8.5%,0)</f>
        <v>3126</v>
      </c>
      <c r="Q14" s="38">
        <f t="shared" ref="Q14:Q20" si="11">N14+O14+P14</f>
        <v>50890.638000000006</v>
      </c>
      <c r="R14" s="42">
        <f t="shared" ref="R14:R20" si="12">O14+P14</f>
        <v>14114.66</v>
      </c>
      <c r="S14" s="154"/>
      <c r="V14" s="122"/>
    </row>
    <row r="15" spans="1:27" x14ac:dyDescent="0.2">
      <c r="A15" s="145"/>
      <c r="B15" s="23" t="s">
        <v>29</v>
      </c>
      <c r="C15" s="148"/>
      <c r="D15" s="37">
        <v>5203.2099999999991</v>
      </c>
      <c r="E15" s="37">
        <v>1120.8119999999999</v>
      </c>
      <c r="F15" s="38">
        <v>6545.24</v>
      </c>
      <c r="G15" s="38">
        <f t="shared" si="8"/>
        <v>23681.252</v>
      </c>
      <c r="H15" s="151"/>
      <c r="I15" s="39"/>
      <c r="J15" s="40"/>
      <c r="K15" s="151"/>
      <c r="L15" s="41">
        <f t="shared" si="2"/>
        <v>527</v>
      </c>
      <c r="M15" s="38"/>
      <c r="N15" s="38">
        <f t="shared" si="7"/>
        <v>35587.522000000004</v>
      </c>
      <c r="O15" s="38">
        <f t="shared" si="9"/>
        <v>10633.55</v>
      </c>
      <c r="P15" s="38">
        <f t="shared" si="10"/>
        <v>3025</v>
      </c>
      <c r="Q15" s="38">
        <f t="shared" si="11"/>
        <v>49246.072</v>
      </c>
      <c r="R15" s="42">
        <f t="shared" si="12"/>
        <v>13658.55</v>
      </c>
      <c r="S15" s="154"/>
    </row>
    <row r="16" spans="1:27" x14ac:dyDescent="0.2">
      <c r="A16" s="145"/>
      <c r="B16" s="23" t="s">
        <v>30</v>
      </c>
      <c r="C16" s="148"/>
      <c r="D16" s="37">
        <v>4189.2299999999996</v>
      </c>
      <c r="E16" s="37">
        <v>1081.08</v>
      </c>
      <c r="F16" s="38">
        <v>6545.24</v>
      </c>
      <c r="G16" s="38">
        <f t="shared" si="8"/>
        <v>22627.54</v>
      </c>
      <c r="H16" s="151"/>
      <c r="I16" s="39"/>
      <c r="J16" s="40"/>
      <c r="K16" s="151"/>
      <c r="L16" s="41">
        <f t="shared" si="2"/>
        <v>439.19</v>
      </c>
      <c r="M16" s="38"/>
      <c r="N16" s="38">
        <f t="shared" si="7"/>
        <v>34446</v>
      </c>
      <c r="O16" s="38">
        <f t="shared" si="9"/>
        <v>10292.459999999999</v>
      </c>
      <c r="P16" s="38">
        <f t="shared" si="10"/>
        <v>2928</v>
      </c>
      <c r="Q16" s="38">
        <f t="shared" si="11"/>
        <v>47666.46</v>
      </c>
      <c r="R16" s="42">
        <f t="shared" si="12"/>
        <v>13220.46</v>
      </c>
      <c r="S16" s="154"/>
    </row>
    <row r="17" spans="1:19" x14ac:dyDescent="0.2">
      <c r="A17" s="145"/>
      <c r="B17" s="23" t="s">
        <v>31</v>
      </c>
      <c r="C17" s="148"/>
      <c r="D17" s="37">
        <v>3221.0099999999984</v>
      </c>
      <c r="E17" s="37">
        <v>1044.1200000000001</v>
      </c>
      <c r="F17" s="38">
        <v>6545.24</v>
      </c>
      <c r="G17" s="38">
        <f t="shared" si="8"/>
        <v>21622.36</v>
      </c>
      <c r="H17" s="151"/>
      <c r="I17" s="39"/>
      <c r="J17" s="40"/>
      <c r="K17" s="151"/>
      <c r="L17" s="41">
        <f t="shared" si="2"/>
        <v>355.43</v>
      </c>
      <c r="M17" s="38"/>
      <c r="N17" s="38">
        <f t="shared" si="7"/>
        <v>33357.06</v>
      </c>
      <c r="O17" s="38">
        <f t="shared" si="9"/>
        <v>9967.09</v>
      </c>
      <c r="P17" s="38">
        <f t="shared" si="10"/>
        <v>2835</v>
      </c>
      <c r="Q17" s="38">
        <f t="shared" si="11"/>
        <v>46159.149999999994</v>
      </c>
      <c r="R17" s="42">
        <f t="shared" si="12"/>
        <v>12802.09</v>
      </c>
      <c r="S17" s="154"/>
    </row>
    <row r="18" spans="1:19" x14ac:dyDescent="0.2">
      <c r="A18" s="145"/>
      <c r="B18" s="23" t="s">
        <v>32</v>
      </c>
      <c r="C18" s="148"/>
      <c r="D18" s="37">
        <v>1909.4599999999991</v>
      </c>
      <c r="E18" s="37">
        <v>993.30000000000007</v>
      </c>
      <c r="F18" s="38">
        <v>6545.24</v>
      </c>
      <c r="G18" s="38">
        <f t="shared" si="8"/>
        <v>20259.989999999998</v>
      </c>
      <c r="H18" s="151"/>
      <c r="I18" s="39"/>
      <c r="J18" s="40"/>
      <c r="K18" s="151"/>
      <c r="L18" s="41">
        <f t="shared" si="2"/>
        <v>241.9</v>
      </c>
      <c r="M18" s="38"/>
      <c r="N18" s="38">
        <f t="shared" si="7"/>
        <v>31881.16</v>
      </c>
      <c r="O18" s="38">
        <f t="shared" si="9"/>
        <v>9526.09</v>
      </c>
      <c r="P18" s="38">
        <f t="shared" si="10"/>
        <v>2710</v>
      </c>
      <c r="Q18" s="38">
        <f t="shared" si="11"/>
        <v>44117.25</v>
      </c>
      <c r="R18" s="42">
        <f t="shared" si="12"/>
        <v>12236.09</v>
      </c>
      <c r="S18" s="154"/>
    </row>
    <row r="19" spans="1:19" x14ac:dyDescent="0.2">
      <c r="A19" s="145"/>
      <c r="B19" s="23" t="s">
        <v>33</v>
      </c>
      <c r="C19" s="148"/>
      <c r="D19" s="37">
        <v>908.88999999999942</v>
      </c>
      <c r="E19" s="37">
        <v>955.41600000000017</v>
      </c>
      <c r="F19" s="38">
        <v>6545.24</v>
      </c>
      <c r="G19" s="38">
        <f t="shared" si="8"/>
        <v>19221.536</v>
      </c>
      <c r="H19" s="151"/>
      <c r="I19" s="39"/>
      <c r="J19" s="40"/>
      <c r="K19" s="151"/>
      <c r="L19" s="41">
        <f t="shared" si="2"/>
        <v>155.36000000000001</v>
      </c>
      <c r="M19" s="38"/>
      <c r="N19" s="38">
        <f t="shared" si="7"/>
        <v>30756.166000000001</v>
      </c>
      <c r="O19" s="38">
        <f t="shared" si="9"/>
        <v>9189.94</v>
      </c>
      <c r="P19" s="38">
        <f t="shared" si="10"/>
        <v>2614</v>
      </c>
      <c r="Q19" s="38">
        <f t="shared" si="11"/>
        <v>42560.106</v>
      </c>
      <c r="R19" s="42">
        <f t="shared" si="12"/>
        <v>11803.94</v>
      </c>
      <c r="S19" s="154"/>
    </row>
    <row r="20" spans="1:19" ht="13.5" thickBot="1" x14ac:dyDescent="0.25">
      <c r="A20" s="146"/>
      <c r="B20" s="25" t="s">
        <v>34</v>
      </c>
      <c r="C20" s="149"/>
      <c r="D20" s="43">
        <v>0</v>
      </c>
      <c r="E20" s="43">
        <v>920.30400000000009</v>
      </c>
      <c r="F20" s="44">
        <v>6545.24</v>
      </c>
      <c r="G20" s="44">
        <f t="shared" si="8"/>
        <v>18277.534</v>
      </c>
      <c r="H20" s="152"/>
      <c r="I20" s="45"/>
      <c r="J20" s="46"/>
      <c r="K20" s="152"/>
      <c r="L20" s="47">
        <f t="shared" si="2"/>
        <v>76.69</v>
      </c>
      <c r="M20" s="44"/>
      <c r="N20" s="44">
        <f t="shared" si="7"/>
        <v>29733.493999999999</v>
      </c>
      <c r="O20" s="44">
        <f t="shared" si="9"/>
        <v>8884.3700000000008</v>
      </c>
      <c r="P20" s="44">
        <f t="shared" si="10"/>
        <v>2527</v>
      </c>
      <c r="Q20" s="44">
        <f t="shared" si="11"/>
        <v>41144.864000000001</v>
      </c>
      <c r="R20" s="48">
        <f t="shared" si="12"/>
        <v>11411.37</v>
      </c>
      <c r="S20" s="155"/>
    </row>
    <row r="21" spans="1:19" x14ac:dyDescent="0.2">
      <c r="A21" s="144" t="s">
        <v>35</v>
      </c>
      <c r="B21" s="11" t="s">
        <v>36</v>
      </c>
      <c r="C21" s="156">
        <v>20952.599999999999</v>
      </c>
      <c r="D21" s="49">
        <v>4821.8600000000006</v>
      </c>
      <c r="E21" s="49">
        <v>992.37599999999998</v>
      </c>
      <c r="F21" s="50">
        <v>6450.08</v>
      </c>
      <c r="G21" s="50">
        <f>$C$21+D21+E21-F21</f>
        <v>20316.756000000001</v>
      </c>
      <c r="H21" s="159">
        <v>2053.9700000000003</v>
      </c>
      <c r="I21" s="51"/>
      <c r="J21" s="52"/>
      <c r="K21" s="159">
        <f>ROUND((C21)/12,2)</f>
        <v>1746.05</v>
      </c>
      <c r="L21" s="53">
        <f t="shared" si="2"/>
        <v>484.52</v>
      </c>
      <c r="M21" s="50"/>
      <c r="N21" s="50">
        <f t="shared" ref="N21:N27" si="13">$C$21+D21+E21+$H$21+I21+$J$21+$K$21+L21</f>
        <v>31051.376</v>
      </c>
      <c r="O21" s="50">
        <f t="shared" si="9"/>
        <v>9278.15</v>
      </c>
      <c r="P21" s="50">
        <f>ROUND(N21*8.5%,0)</f>
        <v>2639</v>
      </c>
      <c r="Q21" s="50">
        <f>N21+O21+P21</f>
        <v>42968.525999999998</v>
      </c>
      <c r="R21" s="54">
        <f>O21+P21</f>
        <v>11917.15</v>
      </c>
      <c r="S21" s="162" t="s">
        <v>35</v>
      </c>
    </row>
    <row r="22" spans="1:19" x14ac:dyDescent="0.2">
      <c r="A22" s="145"/>
      <c r="B22" s="17" t="s">
        <v>37</v>
      </c>
      <c r="C22" s="157"/>
      <c r="D22" s="55">
        <v>4075.0200000000004</v>
      </c>
      <c r="E22" s="55">
        <v>963.73200000000008</v>
      </c>
      <c r="F22" s="56">
        <v>6450.08</v>
      </c>
      <c r="G22" s="56">
        <f t="shared" ref="G22:G27" si="14">$C$21+D22+E22-F22</f>
        <v>19541.271999999997</v>
      </c>
      <c r="H22" s="160"/>
      <c r="I22" s="57"/>
      <c r="J22" s="58"/>
      <c r="K22" s="160"/>
      <c r="L22" s="59">
        <f t="shared" si="2"/>
        <v>419.9</v>
      </c>
      <c r="M22" s="56"/>
      <c r="N22" s="56">
        <f t="shared" si="13"/>
        <v>30211.272000000001</v>
      </c>
      <c r="O22" s="56">
        <f t="shared" si="9"/>
        <v>9027.1299999999992</v>
      </c>
      <c r="P22" s="56">
        <f t="shared" ref="P22:P27" si="15">ROUND(N22*8.5%,0)</f>
        <v>2568</v>
      </c>
      <c r="Q22" s="56">
        <f t="shared" ref="Q22:Q27" si="16">N22+O22+P22</f>
        <v>41806.402000000002</v>
      </c>
      <c r="R22" s="60">
        <f t="shared" ref="R22:R27" si="17">O22+P22</f>
        <v>11595.13</v>
      </c>
      <c r="S22" s="163"/>
    </row>
    <row r="23" spans="1:19" x14ac:dyDescent="0.2">
      <c r="A23" s="145"/>
      <c r="B23" s="23" t="s">
        <v>38</v>
      </c>
      <c r="C23" s="157"/>
      <c r="D23" s="55">
        <v>3317.5200000000004</v>
      </c>
      <c r="E23" s="55">
        <v>934.16399999999999</v>
      </c>
      <c r="F23" s="56">
        <v>6450.08</v>
      </c>
      <c r="G23" s="56">
        <f t="shared" si="14"/>
        <v>18754.203999999998</v>
      </c>
      <c r="H23" s="160"/>
      <c r="I23" s="57"/>
      <c r="J23" s="58"/>
      <c r="K23" s="160"/>
      <c r="L23" s="59">
        <f t="shared" si="2"/>
        <v>354.31</v>
      </c>
      <c r="M23" s="56"/>
      <c r="N23" s="56">
        <f t="shared" si="13"/>
        <v>29358.614000000001</v>
      </c>
      <c r="O23" s="56">
        <f t="shared" si="9"/>
        <v>8772.35</v>
      </c>
      <c r="P23" s="56">
        <f t="shared" si="15"/>
        <v>2495</v>
      </c>
      <c r="Q23" s="56">
        <f t="shared" si="16"/>
        <v>40625.964</v>
      </c>
      <c r="R23" s="60">
        <f t="shared" si="17"/>
        <v>11267.35</v>
      </c>
      <c r="S23" s="163"/>
    </row>
    <row r="24" spans="1:19" x14ac:dyDescent="0.2">
      <c r="A24" s="145"/>
      <c r="B24" s="23" t="s">
        <v>39</v>
      </c>
      <c r="C24" s="157"/>
      <c r="D24" s="55">
        <v>2577.7200000000012</v>
      </c>
      <c r="E24" s="55">
        <v>905.5200000000001</v>
      </c>
      <c r="F24" s="56">
        <v>6450.08</v>
      </c>
      <c r="G24" s="56">
        <f t="shared" si="14"/>
        <v>17985.760000000002</v>
      </c>
      <c r="H24" s="160"/>
      <c r="I24" s="57"/>
      <c r="J24" s="58"/>
      <c r="K24" s="160"/>
      <c r="L24" s="59">
        <f t="shared" si="2"/>
        <v>290.27</v>
      </c>
      <c r="M24" s="56"/>
      <c r="N24" s="56">
        <f t="shared" si="13"/>
        <v>28526.13</v>
      </c>
      <c r="O24" s="56">
        <f t="shared" si="9"/>
        <v>8523.61</v>
      </c>
      <c r="P24" s="56">
        <f t="shared" si="15"/>
        <v>2425</v>
      </c>
      <c r="Q24" s="56">
        <f t="shared" si="16"/>
        <v>39474.740000000005</v>
      </c>
      <c r="R24" s="60">
        <f t="shared" si="17"/>
        <v>10948.61</v>
      </c>
      <c r="S24" s="163"/>
    </row>
    <row r="25" spans="1:19" x14ac:dyDescent="0.2">
      <c r="A25" s="145"/>
      <c r="B25" s="17" t="s">
        <v>40</v>
      </c>
      <c r="C25" s="157"/>
      <c r="D25" s="55">
        <v>1878.4799999999996</v>
      </c>
      <c r="E25" s="55">
        <v>878.72400000000005</v>
      </c>
      <c r="F25" s="56">
        <v>6450.08</v>
      </c>
      <c r="G25" s="56">
        <f t="shared" si="14"/>
        <v>17259.723999999995</v>
      </c>
      <c r="H25" s="160"/>
      <c r="I25" s="57"/>
      <c r="J25" s="58"/>
      <c r="K25" s="160"/>
      <c r="L25" s="59">
        <f t="shared" si="2"/>
        <v>229.77</v>
      </c>
      <c r="M25" s="56"/>
      <c r="N25" s="56">
        <f t="shared" si="13"/>
        <v>27739.593999999997</v>
      </c>
      <c r="O25" s="56">
        <f t="shared" si="9"/>
        <v>8288.59</v>
      </c>
      <c r="P25" s="56">
        <f t="shared" si="15"/>
        <v>2358</v>
      </c>
      <c r="Q25" s="56">
        <f t="shared" si="16"/>
        <v>38386.183999999994</v>
      </c>
      <c r="R25" s="60">
        <f t="shared" si="17"/>
        <v>10646.59</v>
      </c>
      <c r="S25" s="163"/>
    </row>
    <row r="26" spans="1:19" x14ac:dyDescent="0.2">
      <c r="A26" s="145"/>
      <c r="B26" s="23" t="s">
        <v>41</v>
      </c>
      <c r="C26" s="157"/>
      <c r="D26" s="55">
        <v>800.40000000000146</v>
      </c>
      <c r="E26" s="55">
        <v>837.14400000000001</v>
      </c>
      <c r="F26" s="56">
        <v>6372.64</v>
      </c>
      <c r="G26" s="56">
        <f t="shared" si="14"/>
        <v>16217.504000000001</v>
      </c>
      <c r="H26" s="160"/>
      <c r="I26" s="57"/>
      <c r="J26" s="58"/>
      <c r="K26" s="160"/>
      <c r="L26" s="59">
        <f t="shared" si="2"/>
        <v>136.46</v>
      </c>
      <c r="M26" s="56"/>
      <c r="N26" s="56">
        <f t="shared" si="13"/>
        <v>26526.624</v>
      </c>
      <c r="O26" s="56">
        <f t="shared" si="9"/>
        <v>7926.16</v>
      </c>
      <c r="P26" s="56">
        <f t="shared" si="15"/>
        <v>2255</v>
      </c>
      <c r="Q26" s="56">
        <f t="shared" si="16"/>
        <v>36707.784</v>
      </c>
      <c r="R26" s="60">
        <f t="shared" si="17"/>
        <v>10181.16</v>
      </c>
      <c r="S26" s="163"/>
    </row>
    <row r="27" spans="1:19" ht="26.25" thickBot="1" x14ac:dyDescent="0.25">
      <c r="A27" s="146"/>
      <c r="B27" s="25" t="s">
        <v>42</v>
      </c>
      <c r="C27" s="158"/>
      <c r="D27" s="61">
        <v>0</v>
      </c>
      <c r="E27" s="61">
        <v>806.65200000000004</v>
      </c>
      <c r="F27" s="62">
        <v>6372.64</v>
      </c>
      <c r="G27" s="62">
        <f t="shared" si="14"/>
        <v>15386.612000000001</v>
      </c>
      <c r="H27" s="161"/>
      <c r="I27" s="63"/>
      <c r="J27" s="64"/>
      <c r="K27" s="161"/>
      <c r="L27" s="65">
        <f t="shared" si="2"/>
        <v>67.22</v>
      </c>
      <c r="M27" s="62"/>
      <c r="N27" s="62">
        <f t="shared" si="13"/>
        <v>25626.492000000002</v>
      </c>
      <c r="O27" s="62">
        <f t="shared" si="9"/>
        <v>7657.2</v>
      </c>
      <c r="P27" s="62">
        <f t="shared" si="15"/>
        <v>2178</v>
      </c>
      <c r="Q27" s="62">
        <f t="shared" si="16"/>
        <v>35461.692000000003</v>
      </c>
      <c r="R27" s="66">
        <f t="shared" si="17"/>
        <v>9835.2000000000007</v>
      </c>
      <c r="S27" s="164"/>
    </row>
    <row r="28" spans="1:19" x14ac:dyDescent="0.2">
      <c r="A28" s="132" t="s">
        <v>43</v>
      </c>
      <c r="B28" s="11" t="s">
        <v>44</v>
      </c>
      <c r="C28" s="135">
        <v>19967.47</v>
      </c>
      <c r="D28" s="67">
        <v>2963.25</v>
      </c>
      <c r="E28" s="67">
        <v>882.42000000000007</v>
      </c>
      <c r="F28" s="68">
        <v>6332.96</v>
      </c>
      <c r="G28" s="68">
        <f>$C$28+D28+E28-F28</f>
        <v>17480.18</v>
      </c>
      <c r="H28" s="138">
        <v>1546.1599999999999</v>
      </c>
      <c r="I28" s="69"/>
      <c r="J28" s="70"/>
      <c r="K28" s="138">
        <f>ROUND((C28)/12,2)</f>
        <v>1663.96</v>
      </c>
      <c r="L28" s="71">
        <f t="shared" si="2"/>
        <v>320.47000000000003</v>
      </c>
      <c r="M28" s="68"/>
      <c r="N28" s="68">
        <f>$C$28+D28+E28+$H$28+I28+$J$28+$K$28+L28</f>
        <v>27343.73</v>
      </c>
      <c r="O28" s="68">
        <f t="shared" si="9"/>
        <v>8170.31</v>
      </c>
      <c r="P28" s="68">
        <f>ROUND(N28*8.5%,0)</f>
        <v>2324</v>
      </c>
      <c r="Q28" s="68">
        <f>N28+O28+P28</f>
        <v>37838.04</v>
      </c>
      <c r="R28" s="72">
        <f>O28+P28</f>
        <v>10494.310000000001</v>
      </c>
      <c r="S28" s="141" t="s">
        <v>43</v>
      </c>
    </row>
    <row r="29" spans="1:19" x14ac:dyDescent="0.2">
      <c r="A29" s="133"/>
      <c r="B29" s="17" t="s">
        <v>45</v>
      </c>
      <c r="C29" s="136"/>
      <c r="D29" s="73">
        <v>2411.9300000000003</v>
      </c>
      <c r="E29" s="73">
        <v>861.16800000000012</v>
      </c>
      <c r="F29" s="74">
        <v>6332.96</v>
      </c>
      <c r="G29" s="74">
        <f t="shared" ref="G29:G32" si="18">$C$28+D29+E29-F29</f>
        <v>16907.608000000004</v>
      </c>
      <c r="H29" s="139"/>
      <c r="I29" s="75"/>
      <c r="J29" s="76"/>
      <c r="K29" s="139"/>
      <c r="L29" s="77">
        <f t="shared" si="2"/>
        <v>272.76</v>
      </c>
      <c r="M29" s="74"/>
      <c r="N29" s="74">
        <f>$C$28+D29+E29+$H$28+I29+$J$28+$K$28+L29</f>
        <v>26723.448</v>
      </c>
      <c r="O29" s="74">
        <f t="shared" si="9"/>
        <v>7984.97</v>
      </c>
      <c r="P29" s="74">
        <f t="shared" ref="P29:P32" si="19">ROUND(N29*8.5%,0)</f>
        <v>2271</v>
      </c>
      <c r="Q29" s="74">
        <f t="shared" ref="Q29:Q32" si="20">N29+O29+P29</f>
        <v>36979.417999999998</v>
      </c>
      <c r="R29" s="78">
        <f t="shared" ref="R29:R32" si="21">O29+P29</f>
        <v>10255.970000000001</v>
      </c>
      <c r="S29" s="142"/>
    </row>
    <row r="30" spans="1:19" x14ac:dyDescent="0.2">
      <c r="A30" s="133"/>
      <c r="B30" s="17" t="s">
        <v>46</v>
      </c>
      <c r="C30" s="136"/>
      <c r="D30" s="73">
        <v>1616.7499999999964</v>
      </c>
      <c r="E30" s="73">
        <v>830.67599999999993</v>
      </c>
      <c r="F30" s="74">
        <v>6332.96</v>
      </c>
      <c r="G30" s="74">
        <f t="shared" si="18"/>
        <v>16081.935999999998</v>
      </c>
      <c r="H30" s="139"/>
      <c r="I30" s="75"/>
      <c r="J30" s="76"/>
      <c r="K30" s="139"/>
      <c r="L30" s="77">
        <f t="shared" si="2"/>
        <v>203.95</v>
      </c>
      <c r="M30" s="74"/>
      <c r="N30" s="74">
        <f>$C$28+D30+E30+$H$28+I30+$J$28+$K$28+L30</f>
        <v>25828.965999999997</v>
      </c>
      <c r="O30" s="74">
        <f t="shared" si="9"/>
        <v>7717.7</v>
      </c>
      <c r="P30" s="74">
        <f t="shared" si="19"/>
        <v>2195</v>
      </c>
      <c r="Q30" s="74">
        <f t="shared" si="20"/>
        <v>35741.665999999997</v>
      </c>
      <c r="R30" s="78">
        <f t="shared" si="21"/>
        <v>9912.7000000000007</v>
      </c>
      <c r="S30" s="142"/>
    </row>
    <row r="31" spans="1:19" x14ac:dyDescent="0.2">
      <c r="A31" s="133"/>
      <c r="B31" s="17" t="s">
        <v>47</v>
      </c>
      <c r="C31" s="136"/>
      <c r="D31" s="73">
        <v>845.61000000000058</v>
      </c>
      <c r="E31" s="73">
        <v>801.10799999999995</v>
      </c>
      <c r="F31" s="74">
        <v>6332.96</v>
      </c>
      <c r="G31" s="74">
        <f t="shared" si="18"/>
        <v>15281.228000000003</v>
      </c>
      <c r="H31" s="139"/>
      <c r="I31" s="75"/>
      <c r="J31" s="76"/>
      <c r="K31" s="139"/>
      <c r="L31" s="77">
        <f t="shared" si="2"/>
        <v>137.22999999999999</v>
      </c>
      <c r="M31" s="74"/>
      <c r="N31" s="74">
        <f>$C$28+D31+E31+$H$28+I31+$J$28+$K$28+L31</f>
        <v>24961.538</v>
      </c>
      <c r="O31" s="74">
        <f t="shared" si="9"/>
        <v>7458.51</v>
      </c>
      <c r="P31" s="74">
        <f t="shared" si="19"/>
        <v>2122</v>
      </c>
      <c r="Q31" s="74">
        <f t="shared" si="20"/>
        <v>34542.048000000003</v>
      </c>
      <c r="R31" s="78">
        <f t="shared" si="21"/>
        <v>9580.51</v>
      </c>
      <c r="S31" s="142"/>
    </row>
    <row r="32" spans="1:19" ht="26.25" thickBot="1" x14ac:dyDescent="0.25">
      <c r="A32" s="134"/>
      <c r="B32" s="79" t="s">
        <v>48</v>
      </c>
      <c r="C32" s="137"/>
      <c r="D32" s="80">
        <v>0</v>
      </c>
      <c r="E32" s="80">
        <v>768.76800000000003</v>
      </c>
      <c r="F32" s="81">
        <v>6332.96</v>
      </c>
      <c r="G32" s="81">
        <f t="shared" si="18"/>
        <v>14403.278000000002</v>
      </c>
      <c r="H32" s="140"/>
      <c r="I32" s="82"/>
      <c r="J32" s="83"/>
      <c r="K32" s="140"/>
      <c r="L32" s="84">
        <f t="shared" si="2"/>
        <v>64.06</v>
      </c>
      <c r="M32" s="81"/>
      <c r="N32" s="81">
        <f>$C$28+D32+E32+$H$28+I32+$J$28+$K$28+L32</f>
        <v>24010.418000000001</v>
      </c>
      <c r="O32" s="81">
        <f t="shared" si="9"/>
        <v>7174.31</v>
      </c>
      <c r="P32" s="81">
        <f t="shared" si="19"/>
        <v>2041</v>
      </c>
      <c r="Q32" s="81">
        <f t="shared" si="20"/>
        <v>33225.728000000003</v>
      </c>
      <c r="R32" s="85">
        <f t="shared" si="21"/>
        <v>9215.3100000000013</v>
      </c>
      <c r="S32" s="143"/>
    </row>
    <row r="33" spans="1:19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x14ac:dyDescent="0.2">
      <c r="A35" s="1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 t="s">
        <v>52</v>
      </c>
      <c r="B36" s="4"/>
      <c r="C36" s="4"/>
      <c r="D36" s="2"/>
      <c r="E36" s="4"/>
      <c r="F36" s="2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3.5" thickBo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64.5" thickBot="1" x14ac:dyDescent="0.25">
      <c r="A38" s="87" t="s">
        <v>1</v>
      </c>
      <c r="B38" s="86" t="s">
        <v>2</v>
      </c>
      <c r="C38" s="109" t="s">
        <v>53</v>
      </c>
      <c r="D38" s="86" t="s">
        <v>5</v>
      </c>
      <c r="E38" s="86" t="s">
        <v>6</v>
      </c>
      <c r="F38" s="86" t="s">
        <v>7</v>
      </c>
      <c r="G38" s="86" t="s">
        <v>9</v>
      </c>
      <c r="H38" s="86" t="s">
        <v>49</v>
      </c>
      <c r="I38" s="86" t="s">
        <v>12</v>
      </c>
      <c r="J38" s="86" t="s">
        <v>13</v>
      </c>
      <c r="K38" s="86" t="s">
        <v>14</v>
      </c>
      <c r="L38" s="86" t="s">
        <v>15</v>
      </c>
      <c r="M38" s="86" t="s">
        <v>16</v>
      </c>
      <c r="N38" s="88" t="s">
        <v>1</v>
      </c>
      <c r="O38" s="2"/>
      <c r="P38" s="2"/>
      <c r="Q38" s="2"/>
      <c r="R38" s="2"/>
      <c r="S38" s="2"/>
    </row>
    <row r="39" spans="1:19" ht="26.25" thickBot="1" x14ac:dyDescent="0.25">
      <c r="A39" s="89" t="s">
        <v>17</v>
      </c>
      <c r="B39" s="90">
        <v>26890.05</v>
      </c>
      <c r="C39" s="91">
        <f>E12</f>
        <v>1034.8799999999999</v>
      </c>
      <c r="D39" s="92">
        <v>6682.26</v>
      </c>
      <c r="E39" s="92">
        <f>B39+C39-D39</f>
        <v>21242.67</v>
      </c>
      <c r="F39" s="92">
        <v>3359.4</v>
      </c>
      <c r="G39" s="92">
        <v>3099</v>
      </c>
      <c r="H39" s="92">
        <f>ROUND((B39+C39)/12,2)</f>
        <v>2327.08</v>
      </c>
      <c r="I39" s="92">
        <f>B39+C39+F39+G39+H39</f>
        <v>36710.410000000003</v>
      </c>
      <c r="J39" s="92">
        <f>ROUND(E39*$Y$4+G39*$Y$5+F39*$Y$6+H39*$Y$7+D39*$Y$8,2)</f>
        <v>11719.23</v>
      </c>
      <c r="K39" s="92">
        <f>ROUND(I39*8.5%,0)</f>
        <v>3120</v>
      </c>
      <c r="L39" s="92">
        <f>I39+J39+K39</f>
        <v>51549.64</v>
      </c>
      <c r="M39" s="92">
        <f>J39+K39</f>
        <v>14839.23</v>
      </c>
      <c r="N39" s="93" t="s">
        <v>17</v>
      </c>
      <c r="O39" s="2"/>
      <c r="P39" s="2"/>
      <c r="Q39" s="2"/>
      <c r="R39" s="2"/>
      <c r="S39" s="2"/>
    </row>
    <row r="40" spans="1:19" ht="13.5" thickBot="1" x14ac:dyDescent="0.25">
      <c r="A40" s="94" t="s">
        <v>26</v>
      </c>
      <c r="B40" s="95">
        <v>23902.47</v>
      </c>
      <c r="C40" s="96">
        <f>E20</f>
        <v>920.30400000000009</v>
      </c>
      <c r="D40" s="97">
        <v>6545.24</v>
      </c>
      <c r="E40" s="97">
        <f t="shared" ref="E40:E42" si="22">B40+C40-D40</f>
        <v>18277.534</v>
      </c>
      <c r="F40" s="97">
        <v>2842.16</v>
      </c>
      <c r="G40" s="97"/>
      <c r="H40" s="97">
        <f>ROUND((B40+C40)/12,2)</f>
        <v>2068.56</v>
      </c>
      <c r="I40" s="97">
        <f t="shared" ref="I40:I42" si="23">B40+C40+F40+G40+H40</f>
        <v>29733.494000000002</v>
      </c>
      <c r="J40" s="97">
        <f>ROUND((I40)*$Z$4,2)</f>
        <v>8884.3700000000008</v>
      </c>
      <c r="K40" s="97">
        <f>ROUND(I40*8.5%,0)</f>
        <v>2527</v>
      </c>
      <c r="L40" s="97">
        <f t="shared" ref="L40:L42" si="24">I40+J40+K40</f>
        <v>41144.864000000001</v>
      </c>
      <c r="M40" s="97">
        <f t="shared" ref="M40:M42" si="25">J40+K40</f>
        <v>11411.37</v>
      </c>
      <c r="N40" s="98" t="s">
        <v>26</v>
      </c>
      <c r="O40" s="2"/>
      <c r="P40" s="2"/>
      <c r="Q40" s="2"/>
      <c r="R40" s="2"/>
      <c r="S40" s="2"/>
    </row>
    <row r="41" spans="1:19" ht="13.5" thickBot="1" x14ac:dyDescent="0.25">
      <c r="A41" s="99" t="s">
        <v>35</v>
      </c>
      <c r="B41" s="100">
        <v>20952.599999999999</v>
      </c>
      <c r="C41" s="101">
        <f>E27</f>
        <v>806.65200000000004</v>
      </c>
      <c r="D41" s="102">
        <v>6450.08</v>
      </c>
      <c r="E41" s="102">
        <f t="shared" si="22"/>
        <v>15309.172</v>
      </c>
      <c r="F41" s="102">
        <v>2053.9700000000003</v>
      </c>
      <c r="G41" s="102"/>
      <c r="H41" s="102">
        <f>ROUND((B41+C41)/12,2)</f>
        <v>1813.27</v>
      </c>
      <c r="I41" s="102">
        <f t="shared" si="23"/>
        <v>25626.492000000002</v>
      </c>
      <c r="J41" s="102">
        <f t="shared" ref="J41:J42" si="26">ROUND((I41)*$Z$4,2)</f>
        <v>7657.2</v>
      </c>
      <c r="K41" s="102">
        <f t="shared" ref="K41:K42" si="27">ROUND(I41*8.5%,0)</f>
        <v>2178</v>
      </c>
      <c r="L41" s="102">
        <f t="shared" si="24"/>
        <v>35461.692000000003</v>
      </c>
      <c r="M41" s="102">
        <f t="shared" si="25"/>
        <v>9835.2000000000007</v>
      </c>
      <c r="N41" s="103" t="s">
        <v>35</v>
      </c>
      <c r="O41" s="2"/>
      <c r="P41" s="2"/>
      <c r="Q41" s="2"/>
      <c r="R41" s="2"/>
      <c r="S41" s="2"/>
    </row>
    <row r="42" spans="1:19" ht="13.5" thickBot="1" x14ac:dyDescent="0.25">
      <c r="A42" s="104" t="s">
        <v>43</v>
      </c>
      <c r="B42" s="105">
        <v>19967.47</v>
      </c>
      <c r="C42" s="106">
        <f>E32</f>
        <v>768.76800000000003</v>
      </c>
      <c r="D42" s="107">
        <v>6332.96</v>
      </c>
      <c r="E42" s="107">
        <f t="shared" si="22"/>
        <v>14403.278000000002</v>
      </c>
      <c r="F42" s="107">
        <v>1546.1599999999999</v>
      </c>
      <c r="G42" s="107"/>
      <c r="H42" s="107">
        <f>ROUND((B42+C42)/12,2)</f>
        <v>1728.02</v>
      </c>
      <c r="I42" s="107">
        <f t="shared" si="23"/>
        <v>24010.418000000001</v>
      </c>
      <c r="J42" s="107">
        <f t="shared" si="26"/>
        <v>7174.31</v>
      </c>
      <c r="K42" s="107">
        <f t="shared" si="27"/>
        <v>2041</v>
      </c>
      <c r="L42" s="107">
        <f t="shared" si="24"/>
        <v>33225.728000000003</v>
      </c>
      <c r="M42" s="107">
        <f t="shared" si="25"/>
        <v>9215.3100000000013</v>
      </c>
      <c r="N42" s="108" t="s">
        <v>43</v>
      </c>
      <c r="O42" s="2"/>
      <c r="P42" s="2"/>
      <c r="Q42" s="2"/>
      <c r="R42" s="2"/>
      <c r="S42" s="2"/>
    </row>
  </sheetData>
  <mergeCells count="22">
    <mergeCell ref="Z4:Z8"/>
    <mergeCell ref="A5:A12"/>
    <mergeCell ref="C5:C12"/>
    <mergeCell ref="H5:H12"/>
    <mergeCell ref="J5:J12"/>
    <mergeCell ref="K5:K12"/>
    <mergeCell ref="S5:S12"/>
    <mergeCell ref="A21:A27"/>
    <mergeCell ref="C21:C27"/>
    <mergeCell ref="H21:H27"/>
    <mergeCell ref="K21:K27"/>
    <mergeCell ref="S21:S27"/>
    <mergeCell ref="A13:A20"/>
    <mergeCell ref="C13:C20"/>
    <mergeCell ref="H13:H20"/>
    <mergeCell ref="K13:K20"/>
    <mergeCell ref="S13:S20"/>
    <mergeCell ref="A28:A32"/>
    <mergeCell ref="C28:C32"/>
    <mergeCell ref="H28:H32"/>
    <mergeCell ref="K28:K32"/>
    <mergeCell ref="S28:S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F975-DF40-44D0-BD8F-79197E9FAB83}">
  <dimension ref="A1:AA42"/>
  <sheetViews>
    <sheetView tabSelected="1" topLeftCell="A16" workbookViewId="0">
      <selection activeCell="C39" sqref="C39:C42"/>
    </sheetView>
  </sheetViews>
  <sheetFormatPr defaultRowHeight="12.75" x14ac:dyDescent="0.2"/>
  <cols>
    <col min="1" max="1" width="18.42578125" customWidth="1"/>
    <col min="2" max="2" width="10.85546875" customWidth="1"/>
    <col min="4" max="4" width="11.85546875" customWidth="1"/>
    <col min="14" max="14" width="16.42578125" customWidth="1"/>
    <col min="19" max="19" width="22.140625" bestFit="1" customWidth="1"/>
    <col min="23" max="28" width="0" hidden="1" customWidth="1"/>
  </cols>
  <sheetData>
    <row r="1" spans="1:27" ht="18.75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x14ac:dyDescent="0.2">
      <c r="A2" s="4" t="s">
        <v>51</v>
      </c>
      <c r="B2" s="4"/>
      <c r="C2" s="4"/>
      <c r="D2" s="4"/>
      <c r="E2" s="4"/>
      <c r="F2" s="2"/>
      <c r="G2" s="4"/>
      <c r="H2" s="2"/>
      <c r="I2" s="2"/>
      <c r="J2" s="4"/>
      <c r="K2" s="4"/>
      <c r="L2" s="4"/>
      <c r="M2" s="4"/>
      <c r="N2" s="2"/>
      <c r="O2" s="2"/>
      <c r="P2" s="2"/>
      <c r="Q2" s="2"/>
      <c r="R2" s="2"/>
      <c r="S2" s="2"/>
    </row>
    <row r="3" spans="1:27" ht="13.5" thickBot="1" x14ac:dyDescent="0.25">
      <c r="A3" s="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X3" s="123" t="s">
        <v>96</v>
      </c>
      <c r="Y3" s="124" t="s">
        <v>97</v>
      </c>
      <c r="Z3" s="125" t="s">
        <v>98</v>
      </c>
      <c r="AA3" s="3"/>
    </row>
    <row r="4" spans="1:27" ht="77.25" thickBot="1" x14ac:dyDescent="0.25">
      <c r="A4" s="6" t="s">
        <v>1</v>
      </c>
      <c r="B4" s="7"/>
      <c r="C4" s="8" t="s">
        <v>2</v>
      </c>
      <c r="D4" s="8" t="s">
        <v>3</v>
      </c>
      <c r="E4" s="8" t="s">
        <v>53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/>
      <c r="N4" s="7" t="s">
        <v>12</v>
      </c>
      <c r="O4" s="7" t="s">
        <v>13</v>
      </c>
      <c r="P4" s="7" t="s">
        <v>14</v>
      </c>
      <c r="Q4" s="7" t="s">
        <v>15</v>
      </c>
      <c r="R4" s="9" t="s">
        <v>16</v>
      </c>
      <c r="S4" s="10" t="s">
        <v>1</v>
      </c>
      <c r="X4" s="126" t="s">
        <v>6</v>
      </c>
      <c r="Y4" s="127">
        <v>0.34239999999999998</v>
      </c>
      <c r="Z4" s="165">
        <v>0.29880000000000001</v>
      </c>
      <c r="AA4" s="129"/>
    </row>
    <row r="5" spans="1:27" x14ac:dyDescent="0.2">
      <c r="A5" s="144" t="s">
        <v>17</v>
      </c>
      <c r="B5" s="11" t="s">
        <v>18</v>
      </c>
      <c r="C5" s="166">
        <v>26890.05</v>
      </c>
      <c r="D5" s="12">
        <v>11018.27</v>
      </c>
      <c r="E5" s="12">
        <f>ROUND(('IVC Nuova'!E3+'IVC Nuova'!G3)*12,2)</f>
        <v>1621.32</v>
      </c>
      <c r="F5" s="13">
        <v>6818.23</v>
      </c>
      <c r="G5" s="13">
        <f>$C$5+D5+E5-F5</f>
        <v>32711.41</v>
      </c>
      <c r="H5" s="169">
        <v>3359.4</v>
      </c>
      <c r="I5" s="14">
        <v>912.37000000000035</v>
      </c>
      <c r="J5" s="169">
        <v>3099</v>
      </c>
      <c r="K5" s="169">
        <f>ROUND((C5)/12,2)</f>
        <v>2240.84</v>
      </c>
      <c r="L5" s="15">
        <f>ROUND((D5+E5)/12,2)</f>
        <v>1053.3</v>
      </c>
      <c r="M5" s="12"/>
      <c r="N5" s="13">
        <f t="shared" ref="N5" si="0">$C$5+D5+E5+$H$5+I5+$J$5+$K$5+L5</f>
        <v>50194.55</v>
      </c>
      <c r="O5" s="13">
        <f>ROUND(G5*$Y$4+$J$5*$Y$5+($H$5+I5)*$Y$6+($K$5+L5)*$Y$7+F5*$Y$8,2)</f>
        <v>16248.33</v>
      </c>
      <c r="P5" s="13">
        <f>ROUND(N5*8.5%,0)</f>
        <v>4267</v>
      </c>
      <c r="Q5" s="13">
        <f>N5+O5+P5</f>
        <v>70709.88</v>
      </c>
      <c r="R5" s="16">
        <f>O5+P5</f>
        <v>20515.330000000002</v>
      </c>
      <c r="S5" s="172" t="s">
        <v>17</v>
      </c>
      <c r="X5" s="130" t="s">
        <v>99</v>
      </c>
      <c r="Y5" s="128">
        <v>0.24199999999999999</v>
      </c>
      <c r="Z5" s="165"/>
      <c r="AA5" s="125" t="s">
        <v>100</v>
      </c>
    </row>
    <row r="6" spans="1:27" x14ac:dyDescent="0.2">
      <c r="A6" s="145"/>
      <c r="B6" s="17" t="s">
        <v>19</v>
      </c>
      <c r="C6" s="167"/>
      <c r="D6" s="18">
        <v>9918.27</v>
      </c>
      <c r="E6" s="18">
        <f>ROUND(('IVC Nuova'!E4+'IVC Nuova'!G4)*12,2)</f>
        <v>1578.82</v>
      </c>
      <c r="F6" s="19">
        <v>6818.23</v>
      </c>
      <c r="G6" s="19">
        <f t="shared" ref="G6:G12" si="1">$C$5+D6+E6-F6</f>
        <v>31568.91</v>
      </c>
      <c r="H6" s="170"/>
      <c r="I6" s="20">
        <v>912.37000000000035</v>
      </c>
      <c r="J6" s="170"/>
      <c r="K6" s="170"/>
      <c r="L6" s="21">
        <f t="shared" ref="L6:L32" si="2">ROUND((D6+E6)/12,2)</f>
        <v>958.09</v>
      </c>
      <c r="M6" s="18"/>
      <c r="N6" s="19">
        <f t="shared" ref="N6:N12" si="3">$C$5+D6+E6+$H$5+I6+$J$5+$K$5+L6</f>
        <v>48956.84</v>
      </c>
      <c r="O6" s="19">
        <f t="shared" ref="O6:O11" si="4">ROUND(G6*$Y$4+$J$5*$Y$5+($H$5+I6)*$Y$6+($K$5+L6)*$Y$7+F6*$Y$8,2)</f>
        <v>15828.69</v>
      </c>
      <c r="P6" s="19">
        <f t="shared" ref="P6:P12" si="5">ROUND(N6*8.5%,0)</f>
        <v>4161</v>
      </c>
      <c r="Q6" s="19">
        <f t="shared" ref="Q6:Q12" si="6">N6+O6+P6</f>
        <v>68946.53</v>
      </c>
      <c r="R6" s="22">
        <f t="shared" ref="R6:R12" si="7">O6+P6</f>
        <v>19989.690000000002</v>
      </c>
      <c r="S6" s="173"/>
      <c r="X6" s="130" t="s">
        <v>101</v>
      </c>
      <c r="Y6" s="128">
        <v>0.29880000000000001</v>
      </c>
      <c r="Z6" s="165"/>
      <c r="AA6" s="3"/>
    </row>
    <row r="7" spans="1:27" x14ac:dyDescent="0.2">
      <c r="A7" s="145"/>
      <c r="B7" s="23" t="s">
        <v>20</v>
      </c>
      <c r="C7" s="167"/>
      <c r="D7" s="18">
        <v>8508.8999999999978</v>
      </c>
      <c r="E7" s="18">
        <f>ROUND(('IVC Nuova'!E5+'IVC Nuova'!G5)*12,2)</f>
        <v>1524.3</v>
      </c>
      <c r="F7" s="19">
        <v>6818.23</v>
      </c>
      <c r="G7" s="19">
        <f t="shared" si="1"/>
        <v>30105.02</v>
      </c>
      <c r="H7" s="170"/>
      <c r="I7" s="20">
        <v>912.37000000000035</v>
      </c>
      <c r="J7" s="170"/>
      <c r="K7" s="170"/>
      <c r="L7" s="21">
        <f t="shared" si="2"/>
        <v>836.1</v>
      </c>
      <c r="M7" s="18"/>
      <c r="N7" s="19">
        <f t="shared" si="3"/>
        <v>47370.96</v>
      </c>
      <c r="O7" s="19">
        <f t="shared" si="4"/>
        <v>15291</v>
      </c>
      <c r="P7" s="19">
        <f t="shared" si="5"/>
        <v>4027</v>
      </c>
      <c r="Q7" s="19">
        <f t="shared" si="6"/>
        <v>66688.959999999992</v>
      </c>
      <c r="R7" s="22">
        <f t="shared" si="7"/>
        <v>19318</v>
      </c>
      <c r="S7" s="173"/>
      <c r="X7" s="130" t="s">
        <v>102</v>
      </c>
      <c r="Y7" s="128">
        <v>0.29880000000000001</v>
      </c>
      <c r="Z7" s="165"/>
      <c r="AA7" s="3"/>
    </row>
    <row r="8" spans="1:27" x14ac:dyDescent="0.2">
      <c r="A8" s="145"/>
      <c r="B8" s="23" t="s">
        <v>21</v>
      </c>
      <c r="C8" s="167"/>
      <c r="D8" s="18">
        <v>7159.0000000000036</v>
      </c>
      <c r="E8" s="18">
        <f>ROUND(('IVC Nuova'!E6+'IVC Nuova'!G6)*12,2)</f>
        <v>1472.56</v>
      </c>
      <c r="F8" s="19">
        <v>6818.23</v>
      </c>
      <c r="G8" s="19">
        <f t="shared" si="1"/>
        <v>28703.38</v>
      </c>
      <c r="H8" s="170"/>
      <c r="I8" s="20">
        <v>912.37000000000035</v>
      </c>
      <c r="J8" s="170"/>
      <c r="K8" s="170"/>
      <c r="L8" s="21">
        <f t="shared" si="2"/>
        <v>719.3</v>
      </c>
      <c r="M8" s="18"/>
      <c r="N8" s="19">
        <f t="shared" si="3"/>
        <v>45852.520000000004</v>
      </c>
      <c r="O8" s="19">
        <f t="shared" si="4"/>
        <v>14776.18</v>
      </c>
      <c r="P8" s="19">
        <f t="shared" si="5"/>
        <v>3897</v>
      </c>
      <c r="Q8" s="19">
        <f t="shared" si="6"/>
        <v>64525.700000000004</v>
      </c>
      <c r="R8" s="22">
        <f t="shared" si="7"/>
        <v>18673.18</v>
      </c>
      <c r="S8" s="173"/>
      <c r="X8" s="130" t="s">
        <v>103</v>
      </c>
      <c r="Y8" s="128">
        <v>0.29880000000000001</v>
      </c>
      <c r="Z8" s="165"/>
      <c r="AA8" s="3"/>
    </row>
    <row r="9" spans="1:27" x14ac:dyDescent="0.2">
      <c r="A9" s="145"/>
      <c r="B9" s="17" t="s">
        <v>22</v>
      </c>
      <c r="C9" s="167"/>
      <c r="D9" s="18">
        <v>5702.619999999999</v>
      </c>
      <c r="E9" s="18">
        <f>ROUND(('IVC Nuova'!E7+'IVC Nuova'!G7)*12,2)</f>
        <v>1416.19</v>
      </c>
      <c r="F9" s="19">
        <v>6818.23</v>
      </c>
      <c r="G9" s="19">
        <f t="shared" si="1"/>
        <v>27190.63</v>
      </c>
      <c r="H9" s="170"/>
      <c r="I9" s="20">
        <v>912.37000000000035</v>
      </c>
      <c r="J9" s="170"/>
      <c r="K9" s="170"/>
      <c r="L9" s="21">
        <f t="shared" si="2"/>
        <v>593.23</v>
      </c>
      <c r="M9" s="18"/>
      <c r="N9" s="19">
        <f t="shared" si="3"/>
        <v>44213.700000000004</v>
      </c>
      <c r="O9" s="19">
        <f t="shared" si="4"/>
        <v>14220.54</v>
      </c>
      <c r="P9" s="19">
        <f t="shared" si="5"/>
        <v>3758</v>
      </c>
      <c r="Q9" s="19">
        <f t="shared" si="6"/>
        <v>62192.240000000005</v>
      </c>
      <c r="R9" s="22">
        <f t="shared" si="7"/>
        <v>17978.54</v>
      </c>
      <c r="S9" s="173"/>
      <c r="X9" s="130" t="s">
        <v>104</v>
      </c>
      <c r="Y9" s="128">
        <v>8.5000000000000006E-2</v>
      </c>
      <c r="Z9" s="128">
        <v>8.5000000000000006E-2</v>
      </c>
      <c r="AA9" s="3"/>
    </row>
    <row r="10" spans="1:27" x14ac:dyDescent="0.2">
      <c r="A10" s="145"/>
      <c r="B10" s="23" t="s">
        <v>23</v>
      </c>
      <c r="C10" s="167"/>
      <c r="D10" s="18">
        <v>3318.7299999999996</v>
      </c>
      <c r="E10" s="18">
        <f>ROUND(('IVC Nuova'!E8+'IVC Nuova'!G8)*12,2)</f>
        <v>1324.72</v>
      </c>
      <c r="F10" s="19">
        <v>6682.26</v>
      </c>
      <c r="G10" s="19">
        <f t="shared" si="1"/>
        <v>24851.239999999998</v>
      </c>
      <c r="H10" s="170"/>
      <c r="I10" s="24"/>
      <c r="J10" s="167"/>
      <c r="K10" s="170"/>
      <c r="L10" s="21">
        <f t="shared" si="2"/>
        <v>386.95</v>
      </c>
      <c r="M10" s="18"/>
      <c r="N10" s="19">
        <f t="shared" si="3"/>
        <v>40619.69</v>
      </c>
      <c r="O10" s="19">
        <f t="shared" si="4"/>
        <v>13044.65</v>
      </c>
      <c r="P10" s="19">
        <f t="shared" si="5"/>
        <v>3453</v>
      </c>
      <c r="Q10" s="19">
        <f t="shared" si="6"/>
        <v>57117.340000000004</v>
      </c>
      <c r="R10" s="22">
        <f t="shared" si="7"/>
        <v>16497.650000000001</v>
      </c>
      <c r="S10" s="173"/>
    </row>
    <row r="11" spans="1:27" x14ac:dyDescent="0.2">
      <c r="A11" s="145"/>
      <c r="B11" s="23" t="s">
        <v>24</v>
      </c>
      <c r="C11" s="167"/>
      <c r="D11" s="18">
        <v>1703.3899999999994</v>
      </c>
      <c r="E11" s="18">
        <f>ROUND(('IVC Nuova'!E9+'IVC Nuova'!G9)*12,2)</f>
        <v>1261.8800000000001</v>
      </c>
      <c r="F11" s="19">
        <v>6682.26</v>
      </c>
      <c r="G11" s="19">
        <f t="shared" si="1"/>
        <v>23173.059999999998</v>
      </c>
      <c r="H11" s="170"/>
      <c r="I11" s="24"/>
      <c r="J11" s="167"/>
      <c r="K11" s="170"/>
      <c r="L11" s="21">
        <f t="shared" si="2"/>
        <v>247.11</v>
      </c>
      <c r="M11" s="18"/>
      <c r="N11" s="19">
        <f t="shared" si="3"/>
        <v>38801.67</v>
      </c>
      <c r="O11" s="19">
        <f t="shared" si="4"/>
        <v>12428.26</v>
      </c>
      <c r="P11" s="19">
        <f t="shared" si="5"/>
        <v>3298</v>
      </c>
      <c r="Q11" s="19">
        <f t="shared" si="6"/>
        <v>54527.93</v>
      </c>
      <c r="R11" s="22">
        <f t="shared" si="7"/>
        <v>15726.26</v>
      </c>
      <c r="S11" s="173"/>
    </row>
    <row r="12" spans="1:27" ht="13.5" thickBot="1" x14ac:dyDescent="0.25">
      <c r="A12" s="146"/>
      <c r="B12" s="25" t="s">
        <v>25</v>
      </c>
      <c r="C12" s="168"/>
      <c r="D12" s="26">
        <v>0</v>
      </c>
      <c r="E12" s="26">
        <f>ROUND(('IVC Nuova'!E10+'IVC Nuova'!G10)*12,2)</f>
        <v>1196.28</v>
      </c>
      <c r="F12" s="27">
        <v>6682.26</v>
      </c>
      <c r="G12" s="27">
        <f t="shared" si="1"/>
        <v>21404.07</v>
      </c>
      <c r="H12" s="171"/>
      <c r="I12" s="28"/>
      <c r="J12" s="168"/>
      <c r="K12" s="171"/>
      <c r="L12" s="29">
        <f t="shared" si="2"/>
        <v>99.69</v>
      </c>
      <c r="M12" s="26"/>
      <c r="N12" s="27">
        <f t="shared" si="3"/>
        <v>36885.259999999995</v>
      </c>
      <c r="O12" s="27">
        <f>ROUND(G12*$Y$4+$J$5*$Y$5+($H$5+I12)*$Y$6+($K$5+L12)*$Y$7+F12*$Y$8,2)</f>
        <v>11778.51</v>
      </c>
      <c r="P12" s="27">
        <f t="shared" si="5"/>
        <v>3135</v>
      </c>
      <c r="Q12" s="27">
        <f t="shared" si="6"/>
        <v>51798.77</v>
      </c>
      <c r="R12" s="30">
        <f t="shared" si="7"/>
        <v>14913.51</v>
      </c>
      <c r="S12" s="174"/>
    </row>
    <row r="13" spans="1:27" x14ac:dyDescent="0.2">
      <c r="A13" s="144" t="s">
        <v>26</v>
      </c>
      <c r="B13" s="11" t="s">
        <v>27</v>
      </c>
      <c r="C13" s="147">
        <v>23902.47</v>
      </c>
      <c r="D13" s="31">
        <v>7159.59</v>
      </c>
      <c r="E13" s="31">
        <f>ROUND(('IVC Nuova'!E11+'IVC Nuova'!G11)*12,2)</f>
        <v>1339.06</v>
      </c>
      <c r="F13" s="32">
        <v>6545.24</v>
      </c>
      <c r="G13" s="32">
        <f>$C$13+D13+E13-F13</f>
        <v>25855.880000000005</v>
      </c>
      <c r="H13" s="150">
        <v>2842.16</v>
      </c>
      <c r="I13" s="33"/>
      <c r="J13" s="34"/>
      <c r="K13" s="150">
        <f>ROUND((C13)/12,2)</f>
        <v>1991.87</v>
      </c>
      <c r="L13" s="35">
        <f t="shared" si="2"/>
        <v>708.22</v>
      </c>
      <c r="M13" s="32"/>
      <c r="N13" s="32">
        <f t="shared" ref="N13:N20" si="8">$C$13+D13+E13+$H$13+I13+$J$13+$K$13+L13</f>
        <v>37943.370000000003</v>
      </c>
      <c r="O13" s="32">
        <f>ROUND((N13)*$Z$4,2)</f>
        <v>11337.48</v>
      </c>
      <c r="P13" s="32">
        <f>ROUND(N13*8.5%,0)</f>
        <v>3225</v>
      </c>
      <c r="Q13" s="32">
        <f>N13+O13+P13</f>
        <v>52505.850000000006</v>
      </c>
      <c r="R13" s="36">
        <f>O13+P13</f>
        <v>14562.48</v>
      </c>
      <c r="S13" s="153" t="s">
        <v>26</v>
      </c>
    </row>
    <row r="14" spans="1:27" x14ac:dyDescent="0.2">
      <c r="A14" s="145"/>
      <c r="B14" s="17" t="s">
        <v>28</v>
      </c>
      <c r="C14" s="148"/>
      <c r="D14" s="37">
        <v>6259.59</v>
      </c>
      <c r="E14" s="37">
        <f>ROUND(('IVC Nuova'!E12+'IVC Nuova'!G12)*12,2)</f>
        <v>1304.8699999999999</v>
      </c>
      <c r="F14" s="38">
        <v>6545.24</v>
      </c>
      <c r="G14" s="38">
        <f t="shared" ref="G14:G20" si="9">$C$13+D14+E14-F14</f>
        <v>24921.690000000002</v>
      </c>
      <c r="H14" s="151"/>
      <c r="I14" s="39"/>
      <c r="J14" s="40"/>
      <c r="K14" s="151"/>
      <c r="L14" s="41">
        <f t="shared" si="2"/>
        <v>630.37</v>
      </c>
      <c r="M14" s="38"/>
      <c r="N14" s="38">
        <f t="shared" si="8"/>
        <v>36931.33</v>
      </c>
      <c r="O14" s="38">
        <f t="shared" ref="O14:O20" si="10">ROUND((N14)*$Z$4,2)</f>
        <v>11035.08</v>
      </c>
      <c r="P14" s="38">
        <f t="shared" ref="P14:P20" si="11">ROUND(N14*8.5%,0)</f>
        <v>3139</v>
      </c>
      <c r="Q14" s="38">
        <f t="shared" ref="Q14:Q20" si="12">N14+O14+P14</f>
        <v>51105.41</v>
      </c>
      <c r="R14" s="42">
        <f t="shared" ref="R14:R20" si="13">O14+P14</f>
        <v>14174.08</v>
      </c>
      <c r="S14" s="154"/>
      <c r="V14" s="122"/>
    </row>
    <row r="15" spans="1:27" x14ac:dyDescent="0.2">
      <c r="A15" s="145"/>
      <c r="B15" s="23" t="s">
        <v>29</v>
      </c>
      <c r="C15" s="148"/>
      <c r="D15" s="37">
        <v>5203.2099999999991</v>
      </c>
      <c r="E15" s="37">
        <f>ROUND(('IVC Nuova'!E13+'IVC Nuova'!G13)*12,2)</f>
        <v>1264.21</v>
      </c>
      <c r="F15" s="38">
        <v>6545.24</v>
      </c>
      <c r="G15" s="38">
        <f t="shared" si="9"/>
        <v>23824.65</v>
      </c>
      <c r="H15" s="151"/>
      <c r="I15" s="39"/>
      <c r="J15" s="40"/>
      <c r="K15" s="151"/>
      <c r="L15" s="41">
        <f t="shared" si="2"/>
        <v>538.95000000000005</v>
      </c>
      <c r="M15" s="38"/>
      <c r="N15" s="38">
        <f t="shared" si="8"/>
        <v>35742.870000000003</v>
      </c>
      <c r="O15" s="38">
        <f t="shared" si="10"/>
        <v>10679.97</v>
      </c>
      <c r="P15" s="38">
        <f t="shared" si="11"/>
        <v>3038</v>
      </c>
      <c r="Q15" s="38">
        <f t="shared" si="12"/>
        <v>49460.840000000004</v>
      </c>
      <c r="R15" s="42">
        <f t="shared" si="13"/>
        <v>13717.97</v>
      </c>
      <c r="S15" s="154"/>
    </row>
    <row r="16" spans="1:27" x14ac:dyDescent="0.2">
      <c r="A16" s="145"/>
      <c r="B16" s="23" t="s">
        <v>30</v>
      </c>
      <c r="C16" s="148"/>
      <c r="D16" s="37">
        <v>4189.2299999999996</v>
      </c>
      <c r="E16" s="37">
        <f>ROUND(('IVC Nuova'!E14+'IVC Nuova'!G14)*12,2)</f>
        <v>1224.48</v>
      </c>
      <c r="F16" s="38">
        <v>6545.24</v>
      </c>
      <c r="G16" s="38">
        <f t="shared" si="9"/>
        <v>22770.940000000002</v>
      </c>
      <c r="H16" s="151"/>
      <c r="I16" s="39"/>
      <c r="J16" s="40"/>
      <c r="K16" s="151"/>
      <c r="L16" s="41">
        <f t="shared" si="2"/>
        <v>451.14</v>
      </c>
      <c r="M16" s="38"/>
      <c r="N16" s="38">
        <f t="shared" si="8"/>
        <v>34601.35</v>
      </c>
      <c r="O16" s="38">
        <f t="shared" si="10"/>
        <v>10338.879999999999</v>
      </c>
      <c r="P16" s="38">
        <f t="shared" si="11"/>
        <v>2941</v>
      </c>
      <c r="Q16" s="38">
        <f t="shared" si="12"/>
        <v>47881.229999999996</v>
      </c>
      <c r="R16" s="42">
        <f t="shared" si="13"/>
        <v>13279.88</v>
      </c>
      <c r="S16" s="154"/>
    </row>
    <row r="17" spans="1:19" x14ac:dyDescent="0.2">
      <c r="A17" s="145"/>
      <c r="B17" s="23" t="s">
        <v>31</v>
      </c>
      <c r="C17" s="148"/>
      <c r="D17" s="37">
        <v>3221.0099999999984</v>
      </c>
      <c r="E17" s="37">
        <f>ROUND(('IVC Nuova'!E15+'IVC Nuova'!G15)*12,2)</f>
        <v>1187.52</v>
      </c>
      <c r="F17" s="38">
        <v>6545.24</v>
      </c>
      <c r="G17" s="38">
        <f t="shared" si="9"/>
        <v>21765.760000000002</v>
      </c>
      <c r="H17" s="151"/>
      <c r="I17" s="39"/>
      <c r="J17" s="40"/>
      <c r="K17" s="151"/>
      <c r="L17" s="41">
        <f t="shared" si="2"/>
        <v>367.38</v>
      </c>
      <c r="M17" s="38"/>
      <c r="N17" s="38">
        <f t="shared" si="8"/>
        <v>33512.409999999996</v>
      </c>
      <c r="O17" s="38">
        <f t="shared" si="10"/>
        <v>10013.51</v>
      </c>
      <c r="P17" s="38">
        <f t="shared" si="11"/>
        <v>2849</v>
      </c>
      <c r="Q17" s="38">
        <f t="shared" si="12"/>
        <v>46374.92</v>
      </c>
      <c r="R17" s="42">
        <f t="shared" si="13"/>
        <v>12862.51</v>
      </c>
      <c r="S17" s="154"/>
    </row>
    <row r="18" spans="1:19" x14ac:dyDescent="0.2">
      <c r="A18" s="145"/>
      <c r="B18" s="23" t="s">
        <v>32</v>
      </c>
      <c r="C18" s="148"/>
      <c r="D18" s="37">
        <v>1909.4599999999991</v>
      </c>
      <c r="E18" s="37">
        <f>ROUND(('IVC Nuova'!E16+'IVC Nuova'!G16)*12,2)</f>
        <v>1136.7</v>
      </c>
      <c r="F18" s="38">
        <v>6545.24</v>
      </c>
      <c r="G18" s="38">
        <f t="shared" si="9"/>
        <v>20403.39</v>
      </c>
      <c r="H18" s="151"/>
      <c r="I18" s="39"/>
      <c r="J18" s="40"/>
      <c r="K18" s="151"/>
      <c r="L18" s="41">
        <f t="shared" si="2"/>
        <v>253.85</v>
      </c>
      <c r="M18" s="38"/>
      <c r="N18" s="38">
        <f t="shared" si="8"/>
        <v>32036.51</v>
      </c>
      <c r="O18" s="38">
        <f t="shared" si="10"/>
        <v>9572.51</v>
      </c>
      <c r="P18" s="38">
        <f t="shared" si="11"/>
        <v>2723</v>
      </c>
      <c r="Q18" s="38">
        <f t="shared" si="12"/>
        <v>44332.02</v>
      </c>
      <c r="R18" s="42">
        <f t="shared" si="13"/>
        <v>12295.51</v>
      </c>
      <c r="S18" s="154"/>
    </row>
    <row r="19" spans="1:19" x14ac:dyDescent="0.2">
      <c r="A19" s="145"/>
      <c r="B19" s="23" t="s">
        <v>33</v>
      </c>
      <c r="C19" s="148"/>
      <c r="D19" s="37">
        <v>908.88999999999942</v>
      </c>
      <c r="E19" s="37">
        <f>ROUND(('IVC Nuova'!E17+'IVC Nuova'!G17)*12,2)</f>
        <v>1098.82</v>
      </c>
      <c r="F19" s="38">
        <v>6545.24</v>
      </c>
      <c r="G19" s="38">
        <f t="shared" si="9"/>
        <v>19364.940000000002</v>
      </c>
      <c r="H19" s="151"/>
      <c r="I19" s="39"/>
      <c r="J19" s="40"/>
      <c r="K19" s="151"/>
      <c r="L19" s="41">
        <f t="shared" si="2"/>
        <v>167.31</v>
      </c>
      <c r="M19" s="38"/>
      <c r="N19" s="38">
        <f t="shared" si="8"/>
        <v>30911.52</v>
      </c>
      <c r="O19" s="38">
        <f t="shared" si="10"/>
        <v>9236.36</v>
      </c>
      <c r="P19" s="38">
        <f t="shared" si="11"/>
        <v>2627</v>
      </c>
      <c r="Q19" s="38">
        <f t="shared" si="12"/>
        <v>42774.880000000005</v>
      </c>
      <c r="R19" s="42">
        <f t="shared" si="13"/>
        <v>11863.36</v>
      </c>
      <c r="S19" s="154"/>
    </row>
    <row r="20" spans="1:19" ht="13.5" thickBot="1" x14ac:dyDescent="0.25">
      <c r="A20" s="146"/>
      <c r="B20" s="25" t="s">
        <v>34</v>
      </c>
      <c r="C20" s="149"/>
      <c r="D20" s="43">
        <v>0</v>
      </c>
      <c r="E20" s="43">
        <f>ROUND(('IVC Nuova'!E18+'IVC Nuova'!G18)*12,2)</f>
        <v>1063.7</v>
      </c>
      <c r="F20" s="44">
        <v>6545.24</v>
      </c>
      <c r="G20" s="44">
        <f t="shared" si="9"/>
        <v>18420.93</v>
      </c>
      <c r="H20" s="152"/>
      <c r="I20" s="45"/>
      <c r="J20" s="46"/>
      <c r="K20" s="152"/>
      <c r="L20" s="47">
        <f t="shared" si="2"/>
        <v>88.64</v>
      </c>
      <c r="M20" s="44"/>
      <c r="N20" s="44">
        <f t="shared" si="8"/>
        <v>29888.84</v>
      </c>
      <c r="O20" s="44">
        <f t="shared" si="10"/>
        <v>8930.7900000000009</v>
      </c>
      <c r="P20" s="44">
        <f t="shared" si="11"/>
        <v>2541</v>
      </c>
      <c r="Q20" s="44">
        <f t="shared" si="12"/>
        <v>41360.630000000005</v>
      </c>
      <c r="R20" s="48">
        <f t="shared" si="13"/>
        <v>11471.79</v>
      </c>
      <c r="S20" s="155"/>
    </row>
    <row r="21" spans="1:19" x14ac:dyDescent="0.2">
      <c r="A21" s="144" t="s">
        <v>35</v>
      </c>
      <c r="B21" s="11" t="s">
        <v>36</v>
      </c>
      <c r="C21" s="156">
        <v>20952.599999999999</v>
      </c>
      <c r="D21" s="49">
        <v>4821.8600000000006</v>
      </c>
      <c r="E21" s="49">
        <f>ROUND(('IVC Nuova'!E19+'IVC Nuova'!G19)*12,2)</f>
        <v>1118.1400000000001</v>
      </c>
      <c r="F21" s="50">
        <v>6450.08</v>
      </c>
      <c r="G21" s="50">
        <f>$C$21+D21+E21-F21</f>
        <v>20442.519999999997</v>
      </c>
      <c r="H21" s="159">
        <v>2053.9700000000003</v>
      </c>
      <c r="I21" s="51"/>
      <c r="J21" s="52"/>
      <c r="K21" s="159">
        <f>ROUND((C21)/12,2)</f>
        <v>1746.05</v>
      </c>
      <c r="L21" s="53">
        <f t="shared" si="2"/>
        <v>495</v>
      </c>
      <c r="M21" s="50"/>
      <c r="N21" s="50">
        <f t="shared" ref="N21:N27" si="14">$C$21+D21+E21+$H$21+I21+$J$21+$K$21+L21</f>
        <v>31187.62</v>
      </c>
      <c r="O21" s="50">
        <f t="shared" ref="O21" si="15">ROUND((N21)*$Z$4,2)</f>
        <v>9318.86</v>
      </c>
      <c r="P21" s="50">
        <f>ROUND(N21*8.5%,0)</f>
        <v>2651</v>
      </c>
      <c r="Q21" s="50">
        <f>N21+O21+P21</f>
        <v>43157.479999999996</v>
      </c>
      <c r="R21" s="54">
        <f>O21+P21</f>
        <v>11969.86</v>
      </c>
      <c r="S21" s="162" t="s">
        <v>35</v>
      </c>
    </row>
    <row r="22" spans="1:19" x14ac:dyDescent="0.2">
      <c r="A22" s="145"/>
      <c r="B22" s="17" t="s">
        <v>37</v>
      </c>
      <c r="C22" s="157"/>
      <c r="D22" s="55">
        <v>4075.0200000000004</v>
      </c>
      <c r="E22" s="55">
        <f>ROUND(('IVC Nuova'!E20+'IVC Nuova'!G20)*12,2)</f>
        <v>1089.49</v>
      </c>
      <c r="F22" s="56">
        <v>6450.08</v>
      </c>
      <c r="G22" s="56">
        <f t="shared" ref="G22:G27" si="16">$C$21+D22+E22-F22</f>
        <v>19667.03</v>
      </c>
      <c r="H22" s="160"/>
      <c r="I22" s="57"/>
      <c r="J22" s="58"/>
      <c r="K22" s="160"/>
      <c r="L22" s="59">
        <f t="shared" si="2"/>
        <v>430.38</v>
      </c>
      <c r="M22" s="56"/>
      <c r="N22" s="56">
        <f t="shared" si="14"/>
        <v>30347.510000000002</v>
      </c>
      <c r="O22" s="56">
        <f t="shared" ref="O22:O27" si="17">ROUND((N22)*$Z$4,2)</f>
        <v>9067.84</v>
      </c>
      <c r="P22" s="56">
        <f t="shared" ref="P22:P27" si="18">ROUND(N22*8.5%,0)</f>
        <v>2580</v>
      </c>
      <c r="Q22" s="56">
        <f t="shared" ref="Q22:Q27" si="19">N22+O22+P22</f>
        <v>41995.350000000006</v>
      </c>
      <c r="R22" s="60">
        <f t="shared" ref="R22:R27" si="20">O22+P22</f>
        <v>11647.84</v>
      </c>
      <c r="S22" s="163"/>
    </row>
    <row r="23" spans="1:19" x14ac:dyDescent="0.2">
      <c r="A23" s="145"/>
      <c r="B23" s="23" t="s">
        <v>38</v>
      </c>
      <c r="C23" s="157"/>
      <c r="D23" s="55">
        <v>3317.5200000000004</v>
      </c>
      <c r="E23" s="55">
        <f>ROUND(('IVC Nuova'!E21+'IVC Nuova'!G21)*12,2)</f>
        <v>1059.92</v>
      </c>
      <c r="F23" s="56">
        <v>6450.08</v>
      </c>
      <c r="G23" s="56">
        <f t="shared" si="16"/>
        <v>18879.96</v>
      </c>
      <c r="H23" s="160"/>
      <c r="I23" s="57"/>
      <c r="J23" s="58"/>
      <c r="K23" s="160"/>
      <c r="L23" s="59">
        <f t="shared" si="2"/>
        <v>364.79</v>
      </c>
      <c r="M23" s="56"/>
      <c r="N23" s="56">
        <f t="shared" si="14"/>
        <v>29494.850000000002</v>
      </c>
      <c r="O23" s="56">
        <f t="shared" si="17"/>
        <v>8813.06</v>
      </c>
      <c r="P23" s="56">
        <f t="shared" si="18"/>
        <v>2507</v>
      </c>
      <c r="Q23" s="56">
        <f t="shared" si="19"/>
        <v>40814.910000000003</v>
      </c>
      <c r="R23" s="60">
        <f t="shared" si="20"/>
        <v>11320.06</v>
      </c>
      <c r="S23" s="163"/>
    </row>
    <row r="24" spans="1:19" x14ac:dyDescent="0.2">
      <c r="A24" s="145"/>
      <c r="B24" s="23" t="s">
        <v>39</v>
      </c>
      <c r="C24" s="157"/>
      <c r="D24" s="55">
        <v>2577.7200000000012</v>
      </c>
      <c r="E24" s="55">
        <f>ROUND(('IVC Nuova'!E22+'IVC Nuova'!G22)*12,2)</f>
        <v>1031.28</v>
      </c>
      <c r="F24" s="56">
        <v>6450.08</v>
      </c>
      <c r="G24" s="56">
        <f t="shared" si="16"/>
        <v>18111.519999999997</v>
      </c>
      <c r="H24" s="160"/>
      <c r="I24" s="57"/>
      <c r="J24" s="58"/>
      <c r="K24" s="160"/>
      <c r="L24" s="59">
        <f t="shared" si="2"/>
        <v>300.75</v>
      </c>
      <c r="M24" s="56"/>
      <c r="N24" s="56">
        <f t="shared" si="14"/>
        <v>28662.37</v>
      </c>
      <c r="O24" s="56">
        <f t="shared" si="17"/>
        <v>8564.32</v>
      </c>
      <c r="P24" s="56">
        <f t="shared" si="18"/>
        <v>2436</v>
      </c>
      <c r="Q24" s="56">
        <f t="shared" si="19"/>
        <v>39662.69</v>
      </c>
      <c r="R24" s="60">
        <f t="shared" si="20"/>
        <v>11000.32</v>
      </c>
      <c r="S24" s="163"/>
    </row>
    <row r="25" spans="1:19" x14ac:dyDescent="0.2">
      <c r="A25" s="145"/>
      <c r="B25" s="17" t="s">
        <v>40</v>
      </c>
      <c r="C25" s="157"/>
      <c r="D25" s="55">
        <v>1878.4799999999996</v>
      </c>
      <c r="E25" s="55">
        <f>ROUND(('IVC Nuova'!E23+'IVC Nuova'!G23)*12,2)</f>
        <v>1004.48</v>
      </c>
      <c r="F25" s="56">
        <v>6450.08</v>
      </c>
      <c r="G25" s="56">
        <f t="shared" si="16"/>
        <v>17385.479999999996</v>
      </c>
      <c r="H25" s="160"/>
      <c r="I25" s="57"/>
      <c r="J25" s="58"/>
      <c r="K25" s="160"/>
      <c r="L25" s="59">
        <f t="shared" si="2"/>
        <v>240.25</v>
      </c>
      <c r="M25" s="56"/>
      <c r="N25" s="56">
        <f t="shared" si="14"/>
        <v>27875.829999999998</v>
      </c>
      <c r="O25" s="56">
        <f t="shared" si="17"/>
        <v>8329.2999999999993</v>
      </c>
      <c r="P25" s="56">
        <f t="shared" si="18"/>
        <v>2369</v>
      </c>
      <c r="Q25" s="56">
        <f t="shared" si="19"/>
        <v>38574.129999999997</v>
      </c>
      <c r="R25" s="60">
        <f t="shared" si="20"/>
        <v>10698.3</v>
      </c>
      <c r="S25" s="163"/>
    </row>
    <row r="26" spans="1:19" x14ac:dyDescent="0.2">
      <c r="A26" s="145"/>
      <c r="B26" s="23" t="s">
        <v>41</v>
      </c>
      <c r="C26" s="157"/>
      <c r="D26" s="55">
        <v>800.40000000000146</v>
      </c>
      <c r="E26" s="55">
        <f>ROUND(('IVC Nuova'!E24+'IVC Nuova'!G24)*12,2)</f>
        <v>962.9</v>
      </c>
      <c r="F26" s="56">
        <v>6372.64</v>
      </c>
      <c r="G26" s="56">
        <f t="shared" si="16"/>
        <v>16343.260000000002</v>
      </c>
      <c r="H26" s="160"/>
      <c r="I26" s="57"/>
      <c r="J26" s="58"/>
      <c r="K26" s="160"/>
      <c r="L26" s="59">
        <f t="shared" si="2"/>
        <v>146.94</v>
      </c>
      <c r="M26" s="56"/>
      <c r="N26" s="56">
        <f t="shared" si="14"/>
        <v>26662.86</v>
      </c>
      <c r="O26" s="56">
        <f t="shared" si="17"/>
        <v>7966.86</v>
      </c>
      <c r="P26" s="56">
        <f t="shared" si="18"/>
        <v>2266</v>
      </c>
      <c r="Q26" s="56">
        <f t="shared" si="19"/>
        <v>36895.72</v>
      </c>
      <c r="R26" s="60">
        <f t="shared" si="20"/>
        <v>10232.86</v>
      </c>
      <c r="S26" s="163"/>
    </row>
    <row r="27" spans="1:19" ht="26.25" thickBot="1" x14ac:dyDescent="0.25">
      <c r="A27" s="146"/>
      <c r="B27" s="25" t="s">
        <v>42</v>
      </c>
      <c r="C27" s="158"/>
      <c r="D27" s="61">
        <v>0</v>
      </c>
      <c r="E27" s="61">
        <f>ROUND(('IVC Nuova'!E25+'IVC Nuova'!G25)*12,2)</f>
        <v>932.41</v>
      </c>
      <c r="F27" s="62">
        <v>6372.64</v>
      </c>
      <c r="G27" s="62">
        <f t="shared" si="16"/>
        <v>15512.369999999999</v>
      </c>
      <c r="H27" s="161"/>
      <c r="I27" s="63"/>
      <c r="J27" s="64"/>
      <c r="K27" s="161"/>
      <c r="L27" s="65">
        <f t="shared" si="2"/>
        <v>77.7</v>
      </c>
      <c r="M27" s="62"/>
      <c r="N27" s="62">
        <f t="shared" si="14"/>
        <v>25762.73</v>
      </c>
      <c r="O27" s="62">
        <f t="shared" si="17"/>
        <v>7697.9</v>
      </c>
      <c r="P27" s="62">
        <f t="shared" si="18"/>
        <v>2190</v>
      </c>
      <c r="Q27" s="62">
        <f t="shared" si="19"/>
        <v>35650.629999999997</v>
      </c>
      <c r="R27" s="66">
        <f t="shared" si="20"/>
        <v>9887.9</v>
      </c>
      <c r="S27" s="164"/>
    </row>
    <row r="28" spans="1:19" x14ac:dyDescent="0.2">
      <c r="A28" s="132" t="s">
        <v>43</v>
      </c>
      <c r="B28" s="11" t="s">
        <v>44</v>
      </c>
      <c r="C28" s="135">
        <v>19967.47</v>
      </c>
      <c r="D28" s="67">
        <v>2963.25</v>
      </c>
      <c r="E28" s="67">
        <f>ROUND(('IVC Nuova'!E27+'IVC Nuova'!G27)*12,2)</f>
        <v>1002.18</v>
      </c>
      <c r="F28" s="68">
        <v>6332.96</v>
      </c>
      <c r="G28" s="68">
        <f>$C$28+D28+E28-F28</f>
        <v>17599.940000000002</v>
      </c>
      <c r="H28" s="138">
        <v>1546.1599999999999</v>
      </c>
      <c r="I28" s="69"/>
      <c r="J28" s="70"/>
      <c r="K28" s="138">
        <f>ROUND((C28)/12,2)</f>
        <v>1663.96</v>
      </c>
      <c r="L28" s="71">
        <f t="shared" si="2"/>
        <v>330.45</v>
      </c>
      <c r="M28" s="68"/>
      <c r="N28" s="68">
        <f>$C$28+D28+E28+$H$28+I28+$J$28+$K$28+L28</f>
        <v>27473.47</v>
      </c>
      <c r="O28" s="68">
        <f t="shared" ref="O28" si="21">ROUND((N28)*$Z$4,2)</f>
        <v>8209.07</v>
      </c>
      <c r="P28" s="68">
        <f>ROUND(N28*8.5%,0)</f>
        <v>2335</v>
      </c>
      <c r="Q28" s="68">
        <f>N28+O28+P28</f>
        <v>38017.54</v>
      </c>
      <c r="R28" s="72">
        <f>O28+P28</f>
        <v>10544.07</v>
      </c>
      <c r="S28" s="141" t="s">
        <v>43</v>
      </c>
    </row>
    <row r="29" spans="1:19" x14ac:dyDescent="0.2">
      <c r="A29" s="133"/>
      <c r="B29" s="17" t="s">
        <v>45</v>
      </c>
      <c r="C29" s="136"/>
      <c r="D29" s="73">
        <v>2411.9300000000003</v>
      </c>
      <c r="E29" s="73">
        <f>ROUND(('IVC Nuova'!E28+'IVC Nuova'!G28)*12,2)</f>
        <v>980.93</v>
      </c>
      <c r="F29" s="74">
        <v>6332.96</v>
      </c>
      <c r="G29" s="74">
        <f t="shared" ref="G29:G32" si="22">$C$28+D29+E29-F29</f>
        <v>17027.370000000003</v>
      </c>
      <c r="H29" s="139"/>
      <c r="I29" s="75"/>
      <c r="J29" s="76"/>
      <c r="K29" s="139"/>
      <c r="L29" s="77">
        <f t="shared" si="2"/>
        <v>282.74</v>
      </c>
      <c r="M29" s="74"/>
      <c r="N29" s="74">
        <f>$C$28+D29+E29+$H$28+I29+$J$28+$K$28+L29</f>
        <v>26853.190000000002</v>
      </c>
      <c r="O29" s="74">
        <f t="shared" ref="O29:O32" si="23">ROUND((N29)*$Z$4,2)</f>
        <v>8023.73</v>
      </c>
      <c r="P29" s="74">
        <f t="shared" ref="P29:P32" si="24">ROUND(N29*8.5%,0)</f>
        <v>2283</v>
      </c>
      <c r="Q29" s="74">
        <f t="shared" ref="Q29:Q32" si="25">N29+O29+P29</f>
        <v>37159.919999999998</v>
      </c>
      <c r="R29" s="78">
        <f t="shared" ref="R29:R32" si="26">O29+P29</f>
        <v>10306.73</v>
      </c>
      <c r="S29" s="142"/>
    </row>
    <row r="30" spans="1:19" x14ac:dyDescent="0.2">
      <c r="A30" s="133"/>
      <c r="B30" s="17" t="s">
        <v>46</v>
      </c>
      <c r="C30" s="136"/>
      <c r="D30" s="73">
        <v>1616.7499999999964</v>
      </c>
      <c r="E30" s="73">
        <f>ROUND(('IVC Nuova'!E29+'IVC Nuova'!G29)*12,2)</f>
        <v>950.44</v>
      </c>
      <c r="F30" s="74">
        <v>6332.96</v>
      </c>
      <c r="G30" s="74">
        <f t="shared" si="22"/>
        <v>16201.699999999997</v>
      </c>
      <c r="H30" s="139"/>
      <c r="I30" s="75"/>
      <c r="J30" s="76"/>
      <c r="K30" s="139"/>
      <c r="L30" s="77">
        <f t="shared" si="2"/>
        <v>213.93</v>
      </c>
      <c r="M30" s="74"/>
      <c r="N30" s="74">
        <f>$C$28+D30+E30+$H$28+I30+$J$28+$K$28+L30</f>
        <v>25958.709999999995</v>
      </c>
      <c r="O30" s="74">
        <f t="shared" si="23"/>
        <v>7756.46</v>
      </c>
      <c r="P30" s="74">
        <f t="shared" si="24"/>
        <v>2206</v>
      </c>
      <c r="Q30" s="74">
        <f t="shared" si="25"/>
        <v>35921.17</v>
      </c>
      <c r="R30" s="78">
        <f t="shared" si="26"/>
        <v>9962.4599999999991</v>
      </c>
      <c r="S30" s="142"/>
    </row>
    <row r="31" spans="1:19" x14ac:dyDescent="0.2">
      <c r="A31" s="133"/>
      <c r="B31" s="17" t="s">
        <v>47</v>
      </c>
      <c r="C31" s="136"/>
      <c r="D31" s="73">
        <v>845.61000000000058</v>
      </c>
      <c r="E31" s="73">
        <f>ROUND(('IVC Nuova'!E30+'IVC Nuova'!G30)*12,2)</f>
        <v>920.87</v>
      </c>
      <c r="F31" s="74">
        <v>6332.96</v>
      </c>
      <c r="G31" s="74">
        <f t="shared" si="22"/>
        <v>15400.990000000002</v>
      </c>
      <c r="H31" s="139"/>
      <c r="I31" s="75"/>
      <c r="J31" s="76"/>
      <c r="K31" s="139"/>
      <c r="L31" s="77">
        <f t="shared" si="2"/>
        <v>147.21</v>
      </c>
      <c r="M31" s="74"/>
      <c r="N31" s="74">
        <f>$C$28+D31+E31+$H$28+I31+$J$28+$K$28+L31</f>
        <v>25091.279999999999</v>
      </c>
      <c r="O31" s="74">
        <f t="shared" si="23"/>
        <v>7497.27</v>
      </c>
      <c r="P31" s="74">
        <f t="shared" si="24"/>
        <v>2133</v>
      </c>
      <c r="Q31" s="74">
        <f t="shared" si="25"/>
        <v>34721.550000000003</v>
      </c>
      <c r="R31" s="78">
        <f t="shared" si="26"/>
        <v>9630.27</v>
      </c>
      <c r="S31" s="142"/>
    </row>
    <row r="32" spans="1:19" ht="26.25" thickBot="1" x14ac:dyDescent="0.25">
      <c r="A32" s="134"/>
      <c r="B32" s="79" t="s">
        <v>48</v>
      </c>
      <c r="C32" s="137"/>
      <c r="D32" s="80">
        <v>0</v>
      </c>
      <c r="E32" s="80">
        <f>ROUND(('IVC Nuova'!E31+'IVC Nuova'!G31)*12,2)</f>
        <v>888.53</v>
      </c>
      <c r="F32" s="81">
        <v>6332.96</v>
      </c>
      <c r="G32" s="81">
        <f t="shared" si="22"/>
        <v>14523.04</v>
      </c>
      <c r="H32" s="140"/>
      <c r="I32" s="82"/>
      <c r="J32" s="83"/>
      <c r="K32" s="140"/>
      <c r="L32" s="84">
        <f t="shared" si="2"/>
        <v>74.040000000000006</v>
      </c>
      <c r="M32" s="81"/>
      <c r="N32" s="81">
        <f>$C$28+D32+E32+$H$28+I32+$J$28+$K$28+L32</f>
        <v>24140.16</v>
      </c>
      <c r="O32" s="81">
        <f t="shared" si="23"/>
        <v>7213.08</v>
      </c>
      <c r="P32" s="81">
        <f t="shared" si="24"/>
        <v>2052</v>
      </c>
      <c r="Q32" s="81">
        <f t="shared" si="25"/>
        <v>33405.24</v>
      </c>
      <c r="R32" s="85">
        <f t="shared" si="26"/>
        <v>9265.08</v>
      </c>
      <c r="S32" s="143"/>
    </row>
    <row r="33" spans="1:19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x14ac:dyDescent="0.2">
      <c r="A35" s="1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 t="s">
        <v>52</v>
      </c>
      <c r="B36" s="4"/>
      <c r="C36" s="4"/>
      <c r="D36" s="2"/>
      <c r="E36" s="4"/>
      <c r="F36" s="2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3.5" thickBo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64.5" thickBot="1" x14ac:dyDescent="0.25">
      <c r="A38" s="87" t="s">
        <v>1</v>
      </c>
      <c r="B38" s="86" t="s">
        <v>2</v>
      </c>
      <c r="C38" s="86" t="s">
        <v>53</v>
      </c>
      <c r="D38" s="86" t="s">
        <v>5</v>
      </c>
      <c r="E38" s="86" t="s">
        <v>6</v>
      </c>
      <c r="F38" s="86" t="s">
        <v>7</v>
      </c>
      <c r="G38" s="86" t="s">
        <v>9</v>
      </c>
      <c r="H38" s="86" t="s">
        <v>49</v>
      </c>
      <c r="I38" s="86" t="s">
        <v>12</v>
      </c>
      <c r="J38" s="86" t="s">
        <v>13</v>
      </c>
      <c r="K38" s="86" t="s">
        <v>14</v>
      </c>
      <c r="L38" s="86" t="s">
        <v>15</v>
      </c>
      <c r="M38" s="86" t="s">
        <v>16</v>
      </c>
      <c r="N38" s="88" t="s">
        <v>1</v>
      </c>
      <c r="O38" s="2"/>
      <c r="P38" s="2"/>
      <c r="Q38" s="2"/>
      <c r="R38" s="2"/>
      <c r="S38" s="2"/>
    </row>
    <row r="39" spans="1:19" ht="26.25" thickBot="1" x14ac:dyDescent="0.25">
      <c r="A39" s="89" t="s">
        <v>17</v>
      </c>
      <c r="B39" s="90">
        <v>26890.05</v>
      </c>
      <c r="C39" s="91">
        <f>E12</f>
        <v>1196.28</v>
      </c>
      <c r="D39" s="92">
        <v>6682.26</v>
      </c>
      <c r="E39" s="92">
        <f>B39+C39-D39</f>
        <v>21404.07</v>
      </c>
      <c r="F39" s="92">
        <v>3359.4</v>
      </c>
      <c r="G39" s="92">
        <v>3099</v>
      </c>
      <c r="H39" s="92">
        <f>ROUND((B39+C39)/12,2)</f>
        <v>2340.5300000000002</v>
      </c>
      <c r="I39" s="92">
        <f>B39+C39+F39+G39+H39</f>
        <v>36885.259999999995</v>
      </c>
      <c r="J39" s="92">
        <f>ROUND(E39*$Y$4+G39*$Y$5+F39*$Y$6+H39*$Y$7+D39*$Y$8,2)</f>
        <v>11778.51</v>
      </c>
      <c r="K39" s="92">
        <f>ROUND(I39*8.5%,0)</f>
        <v>3135</v>
      </c>
      <c r="L39" s="92">
        <f>I39+J39+K39</f>
        <v>51798.77</v>
      </c>
      <c r="M39" s="92">
        <f>J39+K39</f>
        <v>14913.51</v>
      </c>
      <c r="N39" s="93" t="s">
        <v>17</v>
      </c>
      <c r="O39" s="2"/>
      <c r="P39" s="2"/>
      <c r="Q39" s="2"/>
      <c r="R39" s="2"/>
      <c r="S39" s="2"/>
    </row>
    <row r="40" spans="1:19" ht="13.5" thickBot="1" x14ac:dyDescent="0.25">
      <c r="A40" s="94" t="s">
        <v>26</v>
      </c>
      <c r="B40" s="95">
        <v>23902.47</v>
      </c>
      <c r="C40" s="96">
        <f>E20</f>
        <v>1063.7</v>
      </c>
      <c r="D40" s="97">
        <v>6545.24</v>
      </c>
      <c r="E40" s="97">
        <f t="shared" ref="E40:E42" si="27">B40+C40-D40</f>
        <v>18420.93</v>
      </c>
      <c r="F40" s="97">
        <v>2842.16</v>
      </c>
      <c r="G40" s="97"/>
      <c r="H40" s="97">
        <f>ROUND((B40+C40)/12,2)</f>
        <v>2080.5100000000002</v>
      </c>
      <c r="I40" s="97">
        <f t="shared" ref="I40:I42" si="28">B40+C40+F40+G40+H40</f>
        <v>29888.840000000004</v>
      </c>
      <c r="J40" s="97">
        <f>ROUND((I40)*$Z$4,2)</f>
        <v>8930.7900000000009</v>
      </c>
      <c r="K40" s="97">
        <f>ROUND(I40*8.5%,0)</f>
        <v>2541</v>
      </c>
      <c r="L40" s="97">
        <f t="shared" ref="L40:L42" si="29">I40+J40+K40</f>
        <v>41360.630000000005</v>
      </c>
      <c r="M40" s="97">
        <f t="shared" ref="M40:M42" si="30">J40+K40</f>
        <v>11471.79</v>
      </c>
      <c r="N40" s="98" t="s">
        <v>26</v>
      </c>
      <c r="O40" s="2"/>
      <c r="P40" s="2"/>
      <c r="Q40" s="2"/>
      <c r="R40" s="2"/>
      <c r="S40" s="2"/>
    </row>
    <row r="41" spans="1:19" ht="13.5" thickBot="1" x14ac:dyDescent="0.25">
      <c r="A41" s="99" t="s">
        <v>35</v>
      </c>
      <c r="B41" s="100">
        <v>20952.599999999999</v>
      </c>
      <c r="C41" s="101">
        <f>E27</f>
        <v>932.41</v>
      </c>
      <c r="D41" s="102">
        <v>6450.08</v>
      </c>
      <c r="E41" s="102">
        <f t="shared" si="27"/>
        <v>15434.929999999998</v>
      </c>
      <c r="F41" s="102">
        <v>2053.9700000000003</v>
      </c>
      <c r="G41" s="102"/>
      <c r="H41" s="102">
        <f>ROUND((B41+C41)/12,2)</f>
        <v>1823.75</v>
      </c>
      <c r="I41" s="102">
        <f t="shared" si="28"/>
        <v>25762.73</v>
      </c>
      <c r="J41" s="102">
        <f t="shared" ref="J41:J42" si="31">ROUND((I41)*$Z$4,2)</f>
        <v>7697.9</v>
      </c>
      <c r="K41" s="102">
        <f t="shared" ref="K41:K42" si="32">ROUND(I41*8.5%,0)</f>
        <v>2190</v>
      </c>
      <c r="L41" s="102">
        <f t="shared" si="29"/>
        <v>35650.629999999997</v>
      </c>
      <c r="M41" s="102">
        <f t="shared" si="30"/>
        <v>9887.9</v>
      </c>
      <c r="N41" s="103" t="s">
        <v>35</v>
      </c>
      <c r="O41" s="2"/>
      <c r="P41" s="2"/>
      <c r="Q41" s="2"/>
      <c r="R41" s="2"/>
      <c r="S41" s="2"/>
    </row>
    <row r="42" spans="1:19" ht="13.5" thickBot="1" x14ac:dyDescent="0.25">
      <c r="A42" s="104" t="s">
        <v>43</v>
      </c>
      <c r="B42" s="105">
        <v>19967.47</v>
      </c>
      <c r="C42" s="106">
        <f>E32</f>
        <v>888.53</v>
      </c>
      <c r="D42" s="107">
        <v>6332.96</v>
      </c>
      <c r="E42" s="107">
        <f t="shared" si="27"/>
        <v>14523.04</v>
      </c>
      <c r="F42" s="107">
        <v>1546.1599999999999</v>
      </c>
      <c r="G42" s="107"/>
      <c r="H42" s="107">
        <f>ROUND((B42+C42)/12,2)</f>
        <v>1738</v>
      </c>
      <c r="I42" s="107">
        <f t="shared" si="28"/>
        <v>24140.16</v>
      </c>
      <c r="J42" s="107">
        <f t="shared" si="31"/>
        <v>7213.08</v>
      </c>
      <c r="K42" s="107">
        <f t="shared" si="32"/>
        <v>2052</v>
      </c>
      <c r="L42" s="107">
        <f t="shared" si="29"/>
        <v>33405.24</v>
      </c>
      <c r="M42" s="107">
        <f t="shared" si="30"/>
        <v>9265.08</v>
      </c>
      <c r="N42" s="108" t="s">
        <v>43</v>
      </c>
      <c r="O42" s="2"/>
      <c r="P42" s="2"/>
      <c r="Q42" s="2"/>
      <c r="R42" s="2"/>
      <c r="S42" s="2"/>
    </row>
  </sheetData>
  <mergeCells count="22">
    <mergeCell ref="A28:A32"/>
    <mergeCell ref="C28:C32"/>
    <mergeCell ref="H28:H32"/>
    <mergeCell ref="K28:K32"/>
    <mergeCell ref="S28:S32"/>
    <mergeCell ref="A13:A20"/>
    <mergeCell ref="C13:C20"/>
    <mergeCell ref="H13:H20"/>
    <mergeCell ref="K13:K20"/>
    <mergeCell ref="S13:S20"/>
    <mergeCell ref="A21:A27"/>
    <mergeCell ref="C21:C27"/>
    <mergeCell ref="H21:H27"/>
    <mergeCell ref="K21:K27"/>
    <mergeCell ref="S21:S27"/>
    <mergeCell ref="S5:S12"/>
    <mergeCell ref="Z4:Z8"/>
    <mergeCell ref="A5:A12"/>
    <mergeCell ref="C5:C12"/>
    <mergeCell ref="H5:H12"/>
    <mergeCell ref="J5:J12"/>
    <mergeCell ref="K5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E0C4-C961-4C75-AA7B-C9B2B900B29E}">
  <dimension ref="A1:AA42"/>
  <sheetViews>
    <sheetView topLeftCell="A22" workbookViewId="0">
      <selection activeCell="E12" sqref="E12"/>
    </sheetView>
  </sheetViews>
  <sheetFormatPr defaultRowHeight="12.75" x14ac:dyDescent="0.2"/>
  <cols>
    <col min="1" max="1" width="18.42578125" customWidth="1"/>
    <col min="2" max="2" width="10.85546875" customWidth="1"/>
    <col min="4" max="4" width="11.85546875" customWidth="1"/>
    <col min="14" max="14" width="16.42578125" customWidth="1"/>
    <col min="19" max="19" width="22.140625" bestFit="1" customWidth="1"/>
    <col min="24" max="27" width="0" hidden="1" customWidth="1"/>
  </cols>
  <sheetData>
    <row r="1" spans="1:27" ht="18.75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x14ac:dyDescent="0.2">
      <c r="A2" s="4" t="s">
        <v>55</v>
      </c>
      <c r="B2" s="4"/>
      <c r="C2" s="4"/>
      <c r="D2" s="4"/>
      <c r="E2" s="4"/>
      <c r="F2" s="2"/>
      <c r="G2" s="4"/>
      <c r="H2" s="2"/>
      <c r="I2" s="2"/>
      <c r="J2" s="4"/>
      <c r="K2" s="4"/>
      <c r="L2" s="4"/>
      <c r="M2" s="4"/>
      <c r="N2" s="2"/>
      <c r="O2" s="2"/>
      <c r="P2" s="2"/>
      <c r="Q2" s="2"/>
      <c r="R2" s="2"/>
      <c r="S2" s="2"/>
    </row>
    <row r="3" spans="1:27" ht="13.5" thickBot="1" x14ac:dyDescent="0.25">
      <c r="A3" s="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X3" s="123" t="s">
        <v>96</v>
      </c>
      <c r="Y3" s="124" t="s">
        <v>97</v>
      </c>
      <c r="Z3" s="125" t="s">
        <v>98</v>
      </c>
      <c r="AA3" s="3"/>
    </row>
    <row r="4" spans="1:27" ht="77.25" thickBot="1" x14ac:dyDescent="0.25">
      <c r="A4" s="6" t="s">
        <v>1</v>
      </c>
      <c r="B4" s="7"/>
      <c r="C4" s="8" t="s">
        <v>2</v>
      </c>
      <c r="D4" s="8" t="s">
        <v>3</v>
      </c>
      <c r="E4" s="8" t="s">
        <v>54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/>
      <c r="N4" s="7" t="s">
        <v>12</v>
      </c>
      <c r="O4" s="7" t="s">
        <v>13</v>
      </c>
      <c r="P4" s="7" t="s">
        <v>14</v>
      </c>
      <c r="Q4" s="7" t="s">
        <v>15</v>
      </c>
      <c r="R4" s="9" t="s">
        <v>16</v>
      </c>
      <c r="S4" s="10" t="s">
        <v>1</v>
      </c>
      <c r="X4" s="126" t="s">
        <v>6</v>
      </c>
      <c r="Y4" s="127">
        <v>0.34239999999999998</v>
      </c>
      <c r="Z4" s="165">
        <v>0.29880000000000001</v>
      </c>
      <c r="AA4" s="129"/>
    </row>
    <row r="5" spans="1:27" x14ac:dyDescent="0.2">
      <c r="A5" s="144" t="s">
        <v>17</v>
      </c>
      <c r="B5" s="11" t="s">
        <v>18</v>
      </c>
      <c r="C5" s="166">
        <v>26890.05</v>
      </c>
      <c r="D5" s="12">
        <v>11018.27</v>
      </c>
      <c r="E5" s="12">
        <f>ROUND(('IVC Nuova'!E3+'IVC Nuova'!H3)*12,2)</f>
        <v>1728.84</v>
      </c>
      <c r="F5" s="13">
        <v>6818.23</v>
      </c>
      <c r="G5" s="13">
        <f>$C$5+D5+E5-F5</f>
        <v>32818.929999999993</v>
      </c>
      <c r="H5" s="169">
        <v>3359.4</v>
      </c>
      <c r="I5" s="14">
        <v>912.37000000000035</v>
      </c>
      <c r="J5" s="169">
        <v>3099</v>
      </c>
      <c r="K5" s="169">
        <f>ROUND((C5)/12,2)</f>
        <v>2240.84</v>
      </c>
      <c r="L5" s="15">
        <f>ROUND((D5+E5)/12,2)</f>
        <v>1062.26</v>
      </c>
      <c r="M5" s="12"/>
      <c r="N5" s="13">
        <f t="shared" ref="N5:N12" si="0">$C$5+D5+E5+$H$5+I5+$J$5+$K$5+L5</f>
        <v>50311.030000000006</v>
      </c>
      <c r="O5" s="13">
        <f>ROUND(G5*$Y$4+$J$5*$Y$5+($H$5+I5)*$Y$6+($K$5+L5)*$Y$7+F5*$Y$8,2)</f>
        <v>16287.82</v>
      </c>
      <c r="P5" s="13">
        <f>ROUND(N5*8.5%,0)</f>
        <v>4276</v>
      </c>
      <c r="Q5" s="13">
        <f>N5+O5+P5</f>
        <v>70874.850000000006</v>
      </c>
      <c r="R5" s="16">
        <f>O5+P5</f>
        <v>20563.82</v>
      </c>
      <c r="S5" s="172" t="s">
        <v>17</v>
      </c>
      <c r="X5" s="130" t="s">
        <v>99</v>
      </c>
      <c r="Y5" s="128">
        <v>0.24199999999999999</v>
      </c>
      <c r="Z5" s="165"/>
      <c r="AA5" s="125" t="s">
        <v>100</v>
      </c>
    </row>
    <row r="6" spans="1:27" x14ac:dyDescent="0.2">
      <c r="A6" s="145"/>
      <c r="B6" s="17" t="s">
        <v>19</v>
      </c>
      <c r="C6" s="167"/>
      <c r="D6" s="18">
        <v>9918.27</v>
      </c>
      <c r="E6" s="18">
        <f>ROUND(('IVC Nuova'!E4+'IVC Nuova'!H4)*12,2)</f>
        <v>1686.34</v>
      </c>
      <c r="F6" s="19">
        <v>6818.23</v>
      </c>
      <c r="G6" s="19">
        <f t="shared" ref="G6:G12" si="1">$C$5+D6+E6-F6</f>
        <v>31676.429999999997</v>
      </c>
      <c r="H6" s="170"/>
      <c r="I6" s="20">
        <v>912.37000000000035</v>
      </c>
      <c r="J6" s="170"/>
      <c r="K6" s="170"/>
      <c r="L6" s="21">
        <f t="shared" ref="L6:L32" si="2">ROUND((D6+E6)/12,2)</f>
        <v>967.05</v>
      </c>
      <c r="M6" s="18"/>
      <c r="N6" s="19">
        <f t="shared" si="0"/>
        <v>49073.320000000007</v>
      </c>
      <c r="O6" s="19">
        <f t="shared" ref="O6:O11" si="3">ROUND(G6*$Y$4+$J$5*$Y$5+($H$5+I6)*$Y$6+($K$5+L6)*$Y$7+F6*$Y$8,2)</f>
        <v>15868.18</v>
      </c>
      <c r="P6" s="19">
        <f t="shared" ref="P6:P12" si="4">ROUND(N6*8.5%,0)</f>
        <v>4171</v>
      </c>
      <c r="Q6" s="19">
        <f t="shared" ref="Q6:Q12" si="5">N6+O6+P6</f>
        <v>69112.5</v>
      </c>
      <c r="R6" s="22">
        <f t="shared" ref="R6:R12" si="6">O6+P6</f>
        <v>20039.18</v>
      </c>
      <c r="S6" s="173"/>
      <c r="X6" s="130" t="s">
        <v>101</v>
      </c>
      <c r="Y6" s="128">
        <v>0.29880000000000001</v>
      </c>
      <c r="Z6" s="165"/>
      <c r="AA6" s="3"/>
    </row>
    <row r="7" spans="1:27" x14ac:dyDescent="0.2">
      <c r="A7" s="145"/>
      <c r="B7" s="23" t="s">
        <v>20</v>
      </c>
      <c r="C7" s="167"/>
      <c r="D7" s="18">
        <v>8508.8999999999978</v>
      </c>
      <c r="E7" s="18">
        <f>ROUND(('IVC Nuova'!E5+'IVC Nuova'!H5)*12,2)</f>
        <v>1631.82</v>
      </c>
      <c r="F7" s="19">
        <v>6818.23</v>
      </c>
      <c r="G7" s="19">
        <f t="shared" si="1"/>
        <v>30212.539999999997</v>
      </c>
      <c r="H7" s="170"/>
      <c r="I7" s="20">
        <v>912.37000000000035</v>
      </c>
      <c r="J7" s="170"/>
      <c r="K7" s="170"/>
      <c r="L7" s="21">
        <f t="shared" si="2"/>
        <v>845.06</v>
      </c>
      <c r="M7" s="18"/>
      <c r="N7" s="19">
        <f t="shared" si="0"/>
        <v>47487.44</v>
      </c>
      <c r="O7" s="19">
        <f t="shared" si="3"/>
        <v>15330.49</v>
      </c>
      <c r="P7" s="19">
        <f t="shared" si="4"/>
        <v>4036</v>
      </c>
      <c r="Q7" s="19">
        <f t="shared" si="5"/>
        <v>66853.929999999993</v>
      </c>
      <c r="R7" s="22">
        <f t="shared" si="6"/>
        <v>19366.489999999998</v>
      </c>
      <c r="S7" s="173"/>
      <c r="X7" s="130" t="s">
        <v>102</v>
      </c>
      <c r="Y7" s="128">
        <v>0.29880000000000001</v>
      </c>
      <c r="Z7" s="165"/>
      <c r="AA7" s="3"/>
    </row>
    <row r="8" spans="1:27" x14ac:dyDescent="0.2">
      <c r="A8" s="145"/>
      <c r="B8" s="23" t="s">
        <v>21</v>
      </c>
      <c r="C8" s="167"/>
      <c r="D8" s="18">
        <v>7159.0000000000036</v>
      </c>
      <c r="E8" s="18">
        <f>ROUND(('IVC Nuova'!E6+'IVC Nuova'!H6)*12,2)</f>
        <v>1580.08</v>
      </c>
      <c r="F8" s="19">
        <v>6818.23</v>
      </c>
      <c r="G8" s="19">
        <f t="shared" si="1"/>
        <v>28810.900000000005</v>
      </c>
      <c r="H8" s="170"/>
      <c r="I8" s="20">
        <v>912.37000000000035</v>
      </c>
      <c r="J8" s="170"/>
      <c r="K8" s="170"/>
      <c r="L8" s="21">
        <f t="shared" si="2"/>
        <v>728.26</v>
      </c>
      <c r="M8" s="18"/>
      <c r="N8" s="19">
        <f t="shared" si="0"/>
        <v>45969.000000000007</v>
      </c>
      <c r="O8" s="19">
        <f t="shared" si="3"/>
        <v>14815.67</v>
      </c>
      <c r="P8" s="19">
        <f t="shared" si="4"/>
        <v>3907</v>
      </c>
      <c r="Q8" s="19">
        <f t="shared" si="5"/>
        <v>64691.670000000006</v>
      </c>
      <c r="R8" s="22">
        <f t="shared" si="6"/>
        <v>18722.669999999998</v>
      </c>
      <c r="S8" s="173"/>
      <c r="X8" s="130" t="s">
        <v>103</v>
      </c>
      <c r="Y8" s="128">
        <v>0.29880000000000001</v>
      </c>
      <c r="Z8" s="165"/>
      <c r="AA8" s="3"/>
    </row>
    <row r="9" spans="1:27" x14ac:dyDescent="0.2">
      <c r="A9" s="145"/>
      <c r="B9" s="17" t="s">
        <v>22</v>
      </c>
      <c r="C9" s="167"/>
      <c r="D9" s="18">
        <v>5702.619999999999</v>
      </c>
      <c r="E9" s="18">
        <f>ROUND(('IVC Nuova'!E7+'IVC Nuova'!H7)*12,2)</f>
        <v>1523.71</v>
      </c>
      <c r="F9" s="19">
        <v>6818.23</v>
      </c>
      <c r="G9" s="19">
        <f t="shared" si="1"/>
        <v>27298.149999999998</v>
      </c>
      <c r="H9" s="170"/>
      <c r="I9" s="20">
        <v>912.37000000000035</v>
      </c>
      <c r="J9" s="170"/>
      <c r="K9" s="170"/>
      <c r="L9" s="21">
        <f t="shared" si="2"/>
        <v>602.19000000000005</v>
      </c>
      <c r="M9" s="18"/>
      <c r="N9" s="19">
        <f t="shared" si="0"/>
        <v>44330.180000000008</v>
      </c>
      <c r="O9" s="19">
        <f t="shared" si="3"/>
        <v>14260.03</v>
      </c>
      <c r="P9" s="19">
        <f t="shared" si="4"/>
        <v>3768</v>
      </c>
      <c r="Q9" s="19">
        <f t="shared" si="5"/>
        <v>62358.210000000006</v>
      </c>
      <c r="R9" s="22">
        <f t="shared" si="6"/>
        <v>18028.03</v>
      </c>
      <c r="S9" s="173"/>
      <c r="X9" s="130" t="s">
        <v>104</v>
      </c>
      <c r="Y9" s="128">
        <v>8.5000000000000006E-2</v>
      </c>
      <c r="Z9" s="128">
        <v>8.5000000000000006E-2</v>
      </c>
      <c r="AA9" s="3"/>
    </row>
    <row r="10" spans="1:27" x14ac:dyDescent="0.2">
      <c r="A10" s="145"/>
      <c r="B10" s="23" t="s">
        <v>23</v>
      </c>
      <c r="C10" s="167"/>
      <c r="D10" s="18">
        <v>3318.7299999999996</v>
      </c>
      <c r="E10" s="18">
        <f>ROUND(('IVC Nuova'!E8+'IVC Nuova'!H8)*12,2)</f>
        <v>1432.24</v>
      </c>
      <c r="F10" s="19">
        <v>6682.26</v>
      </c>
      <c r="G10" s="19">
        <f t="shared" si="1"/>
        <v>24958.760000000002</v>
      </c>
      <c r="H10" s="170"/>
      <c r="I10" s="24"/>
      <c r="J10" s="167"/>
      <c r="K10" s="170"/>
      <c r="L10" s="21">
        <f t="shared" si="2"/>
        <v>395.91</v>
      </c>
      <c r="M10" s="18"/>
      <c r="N10" s="19">
        <f t="shared" si="0"/>
        <v>40736.17</v>
      </c>
      <c r="O10" s="19">
        <f t="shared" si="3"/>
        <v>13084.15</v>
      </c>
      <c r="P10" s="19">
        <f t="shared" si="4"/>
        <v>3463</v>
      </c>
      <c r="Q10" s="19">
        <f t="shared" si="5"/>
        <v>57283.32</v>
      </c>
      <c r="R10" s="22">
        <f t="shared" si="6"/>
        <v>16547.150000000001</v>
      </c>
      <c r="S10" s="173"/>
    </row>
    <row r="11" spans="1:27" x14ac:dyDescent="0.2">
      <c r="A11" s="145"/>
      <c r="B11" s="23" t="s">
        <v>24</v>
      </c>
      <c r="C11" s="167"/>
      <c r="D11" s="18">
        <v>1703.3899999999994</v>
      </c>
      <c r="E11" s="18">
        <f>ROUND(('IVC Nuova'!E9+'IVC Nuova'!H9)*12,2)</f>
        <v>1369.4</v>
      </c>
      <c r="F11" s="19">
        <v>6682.26</v>
      </c>
      <c r="G11" s="19">
        <f t="shared" si="1"/>
        <v>23280.58</v>
      </c>
      <c r="H11" s="170"/>
      <c r="I11" s="24"/>
      <c r="J11" s="167"/>
      <c r="K11" s="170"/>
      <c r="L11" s="21">
        <f t="shared" si="2"/>
        <v>256.07</v>
      </c>
      <c r="M11" s="18"/>
      <c r="N11" s="19">
        <f t="shared" si="0"/>
        <v>38918.15</v>
      </c>
      <c r="O11" s="19">
        <f t="shared" si="3"/>
        <v>12467.75</v>
      </c>
      <c r="P11" s="19">
        <f t="shared" si="4"/>
        <v>3308</v>
      </c>
      <c r="Q11" s="19">
        <f t="shared" si="5"/>
        <v>54693.9</v>
      </c>
      <c r="R11" s="22">
        <f t="shared" si="6"/>
        <v>15775.75</v>
      </c>
      <c r="S11" s="173"/>
    </row>
    <row r="12" spans="1:27" ht="13.5" thickBot="1" x14ac:dyDescent="0.25">
      <c r="A12" s="146"/>
      <c r="B12" s="25" t="s">
        <v>25</v>
      </c>
      <c r="C12" s="168"/>
      <c r="D12" s="26">
        <v>0</v>
      </c>
      <c r="E12" s="26">
        <f>ROUND(('IVC Nuova'!E10+'IVC Nuova'!H10)*12,2)</f>
        <v>1303.8</v>
      </c>
      <c r="F12" s="27">
        <v>6682.26</v>
      </c>
      <c r="G12" s="27">
        <f t="shared" si="1"/>
        <v>21511.589999999997</v>
      </c>
      <c r="H12" s="171"/>
      <c r="I12" s="28"/>
      <c r="J12" s="168"/>
      <c r="K12" s="171"/>
      <c r="L12" s="29">
        <f t="shared" si="2"/>
        <v>108.65</v>
      </c>
      <c r="M12" s="26"/>
      <c r="N12" s="27">
        <f t="shared" si="0"/>
        <v>37001.74</v>
      </c>
      <c r="O12" s="27">
        <f>ROUND(G12*$Y$4+$J$5*$Y$5+($H$5+I12)*$Y$6+($K$5+L12)*$Y$7+F12*$Y$8,2)</f>
        <v>11818</v>
      </c>
      <c r="P12" s="27">
        <f t="shared" si="4"/>
        <v>3145</v>
      </c>
      <c r="Q12" s="27">
        <f t="shared" si="5"/>
        <v>51964.74</v>
      </c>
      <c r="R12" s="30">
        <f t="shared" si="6"/>
        <v>14963</v>
      </c>
      <c r="S12" s="174"/>
    </row>
    <row r="13" spans="1:27" x14ac:dyDescent="0.2">
      <c r="A13" s="144" t="s">
        <v>26</v>
      </c>
      <c r="B13" s="11" t="s">
        <v>27</v>
      </c>
      <c r="C13" s="147">
        <v>23902.47</v>
      </c>
      <c r="D13" s="31">
        <v>7159.59</v>
      </c>
      <c r="E13" s="31">
        <f>ROUND(('IVC Nuova'!E11+'IVC Nuova'!H11)*12,2)</f>
        <v>1434.7</v>
      </c>
      <c r="F13" s="32">
        <v>6545.24</v>
      </c>
      <c r="G13" s="32">
        <f>$C$13+D13+E13-F13</f>
        <v>25951.520000000004</v>
      </c>
      <c r="H13" s="150">
        <v>2842.16</v>
      </c>
      <c r="I13" s="33"/>
      <c r="J13" s="34"/>
      <c r="K13" s="150">
        <f>ROUND((C13)/12,2)</f>
        <v>1991.87</v>
      </c>
      <c r="L13" s="35">
        <f t="shared" si="2"/>
        <v>716.19</v>
      </c>
      <c r="M13" s="32"/>
      <c r="N13" s="32">
        <f t="shared" ref="N13:N20" si="7">$C$13+D13+E13+$H$13+I13+$J$13+$K$13+L13</f>
        <v>38046.980000000003</v>
      </c>
      <c r="O13" s="32">
        <f>ROUND((N13)*$Z$4,2)</f>
        <v>11368.44</v>
      </c>
      <c r="P13" s="32">
        <f>ROUND(N13*8.5%,0)</f>
        <v>3234</v>
      </c>
      <c r="Q13" s="32">
        <f>N13+O13+P13</f>
        <v>52649.420000000006</v>
      </c>
      <c r="R13" s="36">
        <f>O13+P13</f>
        <v>14602.44</v>
      </c>
      <c r="S13" s="153" t="s">
        <v>26</v>
      </c>
    </row>
    <row r="14" spans="1:27" x14ac:dyDescent="0.2">
      <c r="A14" s="145"/>
      <c r="B14" s="17" t="s">
        <v>28</v>
      </c>
      <c r="C14" s="148"/>
      <c r="D14" s="37">
        <v>6259.59</v>
      </c>
      <c r="E14" s="37">
        <f>ROUND(('IVC Nuova'!E12+'IVC Nuova'!H12)*12,2)</f>
        <v>1400.51</v>
      </c>
      <c r="F14" s="38">
        <v>6545.24</v>
      </c>
      <c r="G14" s="38">
        <f t="shared" ref="G14:G20" si="8">$C$13+D14+E14-F14</f>
        <v>25017.33</v>
      </c>
      <c r="H14" s="151"/>
      <c r="I14" s="39"/>
      <c r="J14" s="40"/>
      <c r="K14" s="151"/>
      <c r="L14" s="41">
        <f t="shared" si="2"/>
        <v>638.34</v>
      </c>
      <c r="M14" s="38"/>
      <c r="N14" s="38">
        <f t="shared" si="7"/>
        <v>37034.939999999995</v>
      </c>
      <c r="O14" s="38">
        <f t="shared" ref="O14:O32" si="9">ROUND((N14)*$Z$4,2)</f>
        <v>11066.04</v>
      </c>
      <c r="P14" s="38">
        <f t="shared" ref="P14:P20" si="10">ROUND(N14*8.5%,0)</f>
        <v>3148</v>
      </c>
      <c r="Q14" s="38">
        <f t="shared" ref="Q14:Q20" si="11">N14+O14+P14</f>
        <v>51248.979999999996</v>
      </c>
      <c r="R14" s="42">
        <f t="shared" ref="R14:R20" si="12">O14+P14</f>
        <v>14214.04</v>
      </c>
      <c r="S14" s="154"/>
      <c r="V14" s="122"/>
    </row>
    <row r="15" spans="1:27" x14ac:dyDescent="0.2">
      <c r="A15" s="145"/>
      <c r="B15" s="23" t="s">
        <v>29</v>
      </c>
      <c r="C15" s="148"/>
      <c r="D15" s="37">
        <v>5203.2099999999991</v>
      </c>
      <c r="E15" s="37">
        <f>ROUND(('IVC Nuova'!E13+'IVC Nuova'!H13)*12,2)</f>
        <v>1359.85</v>
      </c>
      <c r="F15" s="38">
        <v>6545.24</v>
      </c>
      <c r="G15" s="38">
        <f t="shared" si="8"/>
        <v>23920.29</v>
      </c>
      <c r="H15" s="151"/>
      <c r="I15" s="39"/>
      <c r="J15" s="40"/>
      <c r="K15" s="151"/>
      <c r="L15" s="41">
        <f t="shared" si="2"/>
        <v>546.91999999999996</v>
      </c>
      <c r="M15" s="38"/>
      <c r="N15" s="38">
        <f t="shared" si="7"/>
        <v>35846.480000000003</v>
      </c>
      <c r="O15" s="38">
        <f t="shared" si="9"/>
        <v>10710.93</v>
      </c>
      <c r="P15" s="38">
        <f t="shared" si="10"/>
        <v>3047</v>
      </c>
      <c r="Q15" s="38">
        <f t="shared" si="11"/>
        <v>49604.41</v>
      </c>
      <c r="R15" s="42">
        <f t="shared" si="12"/>
        <v>13757.93</v>
      </c>
      <c r="S15" s="154"/>
    </row>
    <row r="16" spans="1:27" x14ac:dyDescent="0.2">
      <c r="A16" s="145"/>
      <c r="B16" s="23" t="s">
        <v>30</v>
      </c>
      <c r="C16" s="148"/>
      <c r="D16" s="37">
        <v>4189.2299999999996</v>
      </c>
      <c r="E16" s="37">
        <f>ROUND(('IVC Nuova'!E14+'IVC Nuova'!H14)*12,2)</f>
        <v>1320.12</v>
      </c>
      <c r="F16" s="38">
        <v>6545.24</v>
      </c>
      <c r="G16" s="38">
        <f t="shared" si="8"/>
        <v>22866.58</v>
      </c>
      <c r="H16" s="151"/>
      <c r="I16" s="39"/>
      <c r="J16" s="40"/>
      <c r="K16" s="151"/>
      <c r="L16" s="41">
        <f t="shared" si="2"/>
        <v>459.11</v>
      </c>
      <c r="M16" s="38"/>
      <c r="N16" s="38">
        <f t="shared" si="7"/>
        <v>34704.959999999999</v>
      </c>
      <c r="O16" s="38">
        <f t="shared" si="9"/>
        <v>10369.84</v>
      </c>
      <c r="P16" s="38">
        <f t="shared" si="10"/>
        <v>2950</v>
      </c>
      <c r="Q16" s="38">
        <f t="shared" si="11"/>
        <v>48024.800000000003</v>
      </c>
      <c r="R16" s="42">
        <f t="shared" si="12"/>
        <v>13319.84</v>
      </c>
      <c r="S16" s="154"/>
    </row>
    <row r="17" spans="1:19" x14ac:dyDescent="0.2">
      <c r="A17" s="145"/>
      <c r="B17" s="23" t="s">
        <v>31</v>
      </c>
      <c r="C17" s="148"/>
      <c r="D17" s="37">
        <v>3221.0099999999984</v>
      </c>
      <c r="E17" s="37">
        <f>ROUND(('IVC Nuova'!E15+'IVC Nuova'!H15)*12,2)</f>
        <v>1283.1600000000001</v>
      </c>
      <c r="F17" s="38">
        <v>6545.24</v>
      </c>
      <c r="G17" s="38">
        <f t="shared" si="8"/>
        <v>21861.4</v>
      </c>
      <c r="H17" s="151"/>
      <c r="I17" s="39"/>
      <c r="J17" s="40"/>
      <c r="K17" s="151"/>
      <c r="L17" s="41">
        <f t="shared" si="2"/>
        <v>375.35</v>
      </c>
      <c r="M17" s="38"/>
      <c r="N17" s="38">
        <f t="shared" si="7"/>
        <v>33616.019999999997</v>
      </c>
      <c r="O17" s="38">
        <f t="shared" si="9"/>
        <v>10044.469999999999</v>
      </c>
      <c r="P17" s="38">
        <f t="shared" si="10"/>
        <v>2857</v>
      </c>
      <c r="Q17" s="38">
        <f t="shared" si="11"/>
        <v>46517.49</v>
      </c>
      <c r="R17" s="42">
        <f t="shared" si="12"/>
        <v>12901.47</v>
      </c>
      <c r="S17" s="154"/>
    </row>
    <row r="18" spans="1:19" x14ac:dyDescent="0.2">
      <c r="A18" s="145"/>
      <c r="B18" s="23" t="s">
        <v>32</v>
      </c>
      <c r="C18" s="148"/>
      <c r="D18" s="37">
        <v>1909.4599999999991</v>
      </c>
      <c r="E18" s="37">
        <f>ROUND(('IVC Nuova'!E16+'IVC Nuova'!H16)*12,2)</f>
        <v>1232.3399999999999</v>
      </c>
      <c r="F18" s="38">
        <v>6545.24</v>
      </c>
      <c r="G18" s="38">
        <f t="shared" si="8"/>
        <v>20499.03</v>
      </c>
      <c r="H18" s="151"/>
      <c r="I18" s="39"/>
      <c r="J18" s="40"/>
      <c r="K18" s="151"/>
      <c r="L18" s="41">
        <f t="shared" si="2"/>
        <v>261.82</v>
      </c>
      <c r="M18" s="38"/>
      <c r="N18" s="38">
        <f t="shared" si="7"/>
        <v>32140.12</v>
      </c>
      <c r="O18" s="38">
        <f t="shared" si="9"/>
        <v>9603.4699999999993</v>
      </c>
      <c r="P18" s="38">
        <f t="shared" si="10"/>
        <v>2732</v>
      </c>
      <c r="Q18" s="38">
        <f t="shared" si="11"/>
        <v>44475.59</v>
      </c>
      <c r="R18" s="42">
        <f t="shared" si="12"/>
        <v>12335.47</v>
      </c>
      <c r="S18" s="154"/>
    </row>
    <row r="19" spans="1:19" x14ac:dyDescent="0.2">
      <c r="A19" s="145"/>
      <c r="B19" s="23" t="s">
        <v>33</v>
      </c>
      <c r="C19" s="148"/>
      <c r="D19" s="37">
        <v>908.88999999999942</v>
      </c>
      <c r="E19" s="37">
        <f>ROUND(('IVC Nuova'!E17+'IVC Nuova'!H17)*12,2)</f>
        <v>1194.46</v>
      </c>
      <c r="F19" s="38">
        <v>6545.24</v>
      </c>
      <c r="G19" s="38">
        <f t="shared" si="8"/>
        <v>19460.580000000002</v>
      </c>
      <c r="H19" s="151"/>
      <c r="I19" s="39"/>
      <c r="J19" s="40"/>
      <c r="K19" s="151"/>
      <c r="L19" s="41">
        <f t="shared" si="2"/>
        <v>175.28</v>
      </c>
      <c r="M19" s="38"/>
      <c r="N19" s="38">
        <f t="shared" si="7"/>
        <v>31015.129999999997</v>
      </c>
      <c r="O19" s="38">
        <f t="shared" si="9"/>
        <v>9267.32</v>
      </c>
      <c r="P19" s="38">
        <f t="shared" si="10"/>
        <v>2636</v>
      </c>
      <c r="Q19" s="38">
        <f t="shared" si="11"/>
        <v>42918.45</v>
      </c>
      <c r="R19" s="42">
        <f t="shared" si="12"/>
        <v>11903.32</v>
      </c>
      <c r="S19" s="154"/>
    </row>
    <row r="20" spans="1:19" ht="13.5" thickBot="1" x14ac:dyDescent="0.25">
      <c r="A20" s="146"/>
      <c r="B20" s="25" t="s">
        <v>34</v>
      </c>
      <c r="C20" s="149"/>
      <c r="D20" s="43">
        <v>0</v>
      </c>
      <c r="E20" s="43">
        <f>ROUND(('IVC Nuova'!E18+'IVC Nuova'!H18)*12,2)</f>
        <v>1159.3399999999999</v>
      </c>
      <c r="F20" s="44">
        <v>6545.24</v>
      </c>
      <c r="G20" s="44">
        <f t="shared" si="8"/>
        <v>18516.57</v>
      </c>
      <c r="H20" s="152"/>
      <c r="I20" s="45"/>
      <c r="J20" s="46"/>
      <c r="K20" s="152"/>
      <c r="L20" s="47">
        <f t="shared" si="2"/>
        <v>96.61</v>
      </c>
      <c r="M20" s="44"/>
      <c r="N20" s="44">
        <f t="shared" si="7"/>
        <v>29992.45</v>
      </c>
      <c r="O20" s="44">
        <f t="shared" si="9"/>
        <v>8961.74</v>
      </c>
      <c r="P20" s="44">
        <f t="shared" si="10"/>
        <v>2549</v>
      </c>
      <c r="Q20" s="44">
        <f t="shared" si="11"/>
        <v>41503.19</v>
      </c>
      <c r="R20" s="48">
        <f t="shared" si="12"/>
        <v>11510.74</v>
      </c>
      <c r="S20" s="155"/>
    </row>
    <row r="21" spans="1:19" x14ac:dyDescent="0.2">
      <c r="A21" s="144" t="s">
        <v>35</v>
      </c>
      <c r="B21" s="11" t="s">
        <v>36</v>
      </c>
      <c r="C21" s="156">
        <v>20952.599999999999</v>
      </c>
      <c r="D21" s="49">
        <v>4821.8600000000006</v>
      </c>
      <c r="E21" s="49">
        <f>ROUND(('IVC Nuova'!E19+'IVC Nuova'!H19)*12,2)</f>
        <v>1201.9000000000001</v>
      </c>
      <c r="F21" s="50">
        <v>6450.08</v>
      </c>
      <c r="G21" s="50">
        <f>$C$21+D21+E21-F21</f>
        <v>20526.28</v>
      </c>
      <c r="H21" s="159">
        <v>2053.9700000000003</v>
      </c>
      <c r="I21" s="51"/>
      <c r="J21" s="52"/>
      <c r="K21" s="159">
        <f>ROUND((C21)/12,2)</f>
        <v>1746.05</v>
      </c>
      <c r="L21" s="53">
        <f t="shared" si="2"/>
        <v>501.98</v>
      </c>
      <c r="M21" s="50"/>
      <c r="N21" s="50">
        <f t="shared" ref="N21:N27" si="13">$C$21+D21+E21+$H$21+I21+$J$21+$K$21+L21</f>
        <v>31278.36</v>
      </c>
      <c r="O21" s="50">
        <f t="shared" si="9"/>
        <v>9345.9699999999993</v>
      </c>
      <c r="P21" s="50">
        <f>ROUND(N21*8.5%,0)</f>
        <v>2659</v>
      </c>
      <c r="Q21" s="50">
        <f>N21+O21+P21</f>
        <v>43283.33</v>
      </c>
      <c r="R21" s="54">
        <f>O21+P21</f>
        <v>12004.97</v>
      </c>
      <c r="S21" s="162" t="s">
        <v>35</v>
      </c>
    </row>
    <row r="22" spans="1:19" x14ac:dyDescent="0.2">
      <c r="A22" s="145"/>
      <c r="B22" s="17" t="s">
        <v>37</v>
      </c>
      <c r="C22" s="157"/>
      <c r="D22" s="55">
        <v>4075.0200000000004</v>
      </c>
      <c r="E22" s="55">
        <f>ROUND(('IVC Nuova'!E20+'IVC Nuova'!H20)*12,2)</f>
        <v>1173.25</v>
      </c>
      <c r="F22" s="56">
        <v>6450.08</v>
      </c>
      <c r="G22" s="56">
        <f t="shared" ref="G22:G27" si="14">$C$21+D22+E22-F22</f>
        <v>19750.79</v>
      </c>
      <c r="H22" s="160"/>
      <c r="I22" s="57"/>
      <c r="J22" s="58"/>
      <c r="K22" s="160"/>
      <c r="L22" s="59">
        <f t="shared" si="2"/>
        <v>437.36</v>
      </c>
      <c r="M22" s="56"/>
      <c r="N22" s="56">
        <f t="shared" si="13"/>
        <v>30438.25</v>
      </c>
      <c r="O22" s="56">
        <f t="shared" si="9"/>
        <v>9094.9500000000007</v>
      </c>
      <c r="P22" s="56">
        <f t="shared" ref="P22:P27" si="15">ROUND(N22*8.5%,0)</f>
        <v>2587</v>
      </c>
      <c r="Q22" s="56">
        <f t="shared" ref="Q22:Q27" si="16">N22+O22+P22</f>
        <v>42120.2</v>
      </c>
      <c r="R22" s="60">
        <f t="shared" ref="R22:R27" si="17">O22+P22</f>
        <v>11681.95</v>
      </c>
      <c r="S22" s="163"/>
    </row>
    <row r="23" spans="1:19" x14ac:dyDescent="0.2">
      <c r="A23" s="145"/>
      <c r="B23" s="23" t="s">
        <v>38</v>
      </c>
      <c r="C23" s="157"/>
      <c r="D23" s="55">
        <v>3317.5200000000004</v>
      </c>
      <c r="E23" s="55">
        <f>ROUND(('IVC Nuova'!E21+'IVC Nuova'!H21)*12,2)</f>
        <v>1143.68</v>
      </c>
      <c r="F23" s="56">
        <v>6450.08</v>
      </c>
      <c r="G23" s="56">
        <f t="shared" si="14"/>
        <v>18963.72</v>
      </c>
      <c r="H23" s="160"/>
      <c r="I23" s="57"/>
      <c r="J23" s="58"/>
      <c r="K23" s="160"/>
      <c r="L23" s="59">
        <f t="shared" si="2"/>
        <v>371.77</v>
      </c>
      <c r="M23" s="56"/>
      <c r="N23" s="56">
        <f t="shared" si="13"/>
        <v>29585.59</v>
      </c>
      <c r="O23" s="56">
        <f t="shared" si="9"/>
        <v>8840.17</v>
      </c>
      <c r="P23" s="56">
        <f t="shared" si="15"/>
        <v>2515</v>
      </c>
      <c r="Q23" s="56">
        <f t="shared" si="16"/>
        <v>40940.76</v>
      </c>
      <c r="R23" s="60">
        <f t="shared" si="17"/>
        <v>11355.17</v>
      </c>
      <c r="S23" s="163"/>
    </row>
    <row r="24" spans="1:19" x14ac:dyDescent="0.2">
      <c r="A24" s="145"/>
      <c r="B24" s="23" t="s">
        <v>39</v>
      </c>
      <c r="C24" s="157"/>
      <c r="D24" s="55">
        <v>2577.7200000000012</v>
      </c>
      <c r="E24" s="55">
        <f>ROUND(('IVC Nuova'!E22+'IVC Nuova'!H22)*12,2)</f>
        <v>1115.04</v>
      </c>
      <c r="F24" s="56">
        <v>6450.08</v>
      </c>
      <c r="G24" s="56">
        <f t="shared" si="14"/>
        <v>18195.28</v>
      </c>
      <c r="H24" s="160"/>
      <c r="I24" s="57"/>
      <c r="J24" s="58"/>
      <c r="K24" s="160"/>
      <c r="L24" s="59">
        <f t="shared" si="2"/>
        <v>307.73</v>
      </c>
      <c r="M24" s="56"/>
      <c r="N24" s="56">
        <f t="shared" si="13"/>
        <v>28753.11</v>
      </c>
      <c r="O24" s="56">
        <f t="shared" si="9"/>
        <v>8591.43</v>
      </c>
      <c r="P24" s="56">
        <f t="shared" si="15"/>
        <v>2444</v>
      </c>
      <c r="Q24" s="56">
        <f t="shared" si="16"/>
        <v>39788.54</v>
      </c>
      <c r="R24" s="60">
        <f t="shared" si="17"/>
        <v>11035.43</v>
      </c>
      <c r="S24" s="163"/>
    </row>
    <row r="25" spans="1:19" x14ac:dyDescent="0.2">
      <c r="A25" s="145"/>
      <c r="B25" s="17" t="s">
        <v>40</v>
      </c>
      <c r="C25" s="157"/>
      <c r="D25" s="55">
        <v>1878.4799999999996</v>
      </c>
      <c r="E25" s="55">
        <f>ROUND(('IVC Nuova'!E23+'IVC Nuova'!H23)*12,2)</f>
        <v>1088.24</v>
      </c>
      <c r="F25" s="56">
        <v>6450.08</v>
      </c>
      <c r="G25" s="56">
        <f t="shared" si="14"/>
        <v>17469.239999999998</v>
      </c>
      <c r="H25" s="160"/>
      <c r="I25" s="57"/>
      <c r="J25" s="58"/>
      <c r="K25" s="160"/>
      <c r="L25" s="59">
        <f t="shared" si="2"/>
        <v>247.23</v>
      </c>
      <c r="M25" s="56"/>
      <c r="N25" s="56">
        <f t="shared" si="13"/>
        <v>27966.57</v>
      </c>
      <c r="O25" s="56">
        <f t="shared" si="9"/>
        <v>8356.41</v>
      </c>
      <c r="P25" s="56">
        <f t="shared" si="15"/>
        <v>2377</v>
      </c>
      <c r="Q25" s="56">
        <f t="shared" si="16"/>
        <v>38699.979999999996</v>
      </c>
      <c r="R25" s="60">
        <f t="shared" si="17"/>
        <v>10733.41</v>
      </c>
      <c r="S25" s="163"/>
    </row>
    <row r="26" spans="1:19" x14ac:dyDescent="0.2">
      <c r="A26" s="145"/>
      <c r="B26" s="23" t="s">
        <v>41</v>
      </c>
      <c r="C26" s="157"/>
      <c r="D26" s="55">
        <v>800.40000000000146</v>
      </c>
      <c r="E26" s="55">
        <f>ROUND(('IVC Nuova'!E24+'IVC Nuova'!H24)*12,2)</f>
        <v>1046.6600000000001</v>
      </c>
      <c r="F26" s="56">
        <v>6372.64</v>
      </c>
      <c r="G26" s="56">
        <f t="shared" si="14"/>
        <v>16427.02</v>
      </c>
      <c r="H26" s="160"/>
      <c r="I26" s="57"/>
      <c r="J26" s="58"/>
      <c r="K26" s="160"/>
      <c r="L26" s="59">
        <f t="shared" si="2"/>
        <v>153.91999999999999</v>
      </c>
      <c r="M26" s="56"/>
      <c r="N26" s="56">
        <f t="shared" si="13"/>
        <v>26753.599999999999</v>
      </c>
      <c r="O26" s="56">
        <f t="shared" si="9"/>
        <v>7993.98</v>
      </c>
      <c r="P26" s="56">
        <f t="shared" si="15"/>
        <v>2274</v>
      </c>
      <c r="Q26" s="56">
        <f t="shared" si="16"/>
        <v>37021.58</v>
      </c>
      <c r="R26" s="60">
        <f t="shared" si="17"/>
        <v>10267.98</v>
      </c>
      <c r="S26" s="163"/>
    </row>
    <row r="27" spans="1:19" ht="26.25" thickBot="1" x14ac:dyDescent="0.25">
      <c r="A27" s="146"/>
      <c r="B27" s="25" t="s">
        <v>42</v>
      </c>
      <c r="C27" s="158"/>
      <c r="D27" s="61">
        <v>0</v>
      </c>
      <c r="E27" s="61">
        <f>ROUND(('IVC Nuova'!E25+'IVC Nuova'!H25)*12,2)</f>
        <v>1016.17</v>
      </c>
      <c r="F27" s="62">
        <v>6372.64</v>
      </c>
      <c r="G27" s="62">
        <f t="shared" si="14"/>
        <v>15596.129999999997</v>
      </c>
      <c r="H27" s="161"/>
      <c r="I27" s="63"/>
      <c r="J27" s="64"/>
      <c r="K27" s="161"/>
      <c r="L27" s="65">
        <f t="shared" si="2"/>
        <v>84.68</v>
      </c>
      <c r="M27" s="62"/>
      <c r="N27" s="62">
        <f t="shared" si="13"/>
        <v>25853.469999999998</v>
      </c>
      <c r="O27" s="62">
        <f t="shared" si="9"/>
        <v>7725.02</v>
      </c>
      <c r="P27" s="62">
        <f t="shared" si="15"/>
        <v>2198</v>
      </c>
      <c r="Q27" s="62">
        <f t="shared" si="16"/>
        <v>35776.49</v>
      </c>
      <c r="R27" s="66">
        <f t="shared" si="17"/>
        <v>9923.02</v>
      </c>
      <c r="S27" s="164"/>
    </row>
    <row r="28" spans="1:19" x14ac:dyDescent="0.2">
      <c r="A28" s="132" t="s">
        <v>43</v>
      </c>
      <c r="B28" s="11" t="s">
        <v>44</v>
      </c>
      <c r="C28" s="135">
        <v>19967.47</v>
      </c>
      <c r="D28" s="67">
        <v>2963.25</v>
      </c>
      <c r="E28" s="67">
        <f>ROUND(('IVC Nuova'!E27+'IVC Nuova'!H27)*12,2)</f>
        <v>1082.0999999999999</v>
      </c>
      <c r="F28" s="68">
        <v>6332.96</v>
      </c>
      <c r="G28" s="68">
        <f>$C$28+D28+E28-F28</f>
        <v>17679.86</v>
      </c>
      <c r="H28" s="138">
        <v>1546.1599999999999</v>
      </c>
      <c r="I28" s="69"/>
      <c r="J28" s="70"/>
      <c r="K28" s="138">
        <f>ROUND((C28)/12,2)</f>
        <v>1663.96</v>
      </c>
      <c r="L28" s="71">
        <f t="shared" si="2"/>
        <v>337.11</v>
      </c>
      <c r="M28" s="68"/>
      <c r="N28" s="68">
        <f>$C$28+D28+E28+$H$28+I28+$J$28+$K$28+L28</f>
        <v>27560.05</v>
      </c>
      <c r="O28" s="68">
        <f t="shared" si="9"/>
        <v>8234.94</v>
      </c>
      <c r="P28" s="68">
        <f>ROUND(N28*8.5%,0)</f>
        <v>2343</v>
      </c>
      <c r="Q28" s="68">
        <f>N28+O28+P28</f>
        <v>38137.99</v>
      </c>
      <c r="R28" s="72">
        <f>O28+P28</f>
        <v>10577.94</v>
      </c>
      <c r="S28" s="141" t="s">
        <v>43</v>
      </c>
    </row>
    <row r="29" spans="1:19" x14ac:dyDescent="0.2">
      <c r="A29" s="133"/>
      <c r="B29" s="17" t="s">
        <v>45</v>
      </c>
      <c r="C29" s="136"/>
      <c r="D29" s="73">
        <v>2411.9300000000003</v>
      </c>
      <c r="E29" s="73">
        <f>ROUND(('IVC Nuova'!E28+'IVC Nuova'!H28)*12,2)</f>
        <v>1060.8499999999999</v>
      </c>
      <c r="F29" s="74">
        <v>6332.96</v>
      </c>
      <c r="G29" s="74">
        <f t="shared" ref="G29:G32" si="18">$C$28+D29+E29-F29</f>
        <v>17107.29</v>
      </c>
      <c r="H29" s="139"/>
      <c r="I29" s="75"/>
      <c r="J29" s="76"/>
      <c r="K29" s="139"/>
      <c r="L29" s="77">
        <f t="shared" si="2"/>
        <v>289.39999999999998</v>
      </c>
      <c r="M29" s="74"/>
      <c r="N29" s="74">
        <f>$C$28+D29+E29+$H$28+I29+$J$28+$K$28+L29</f>
        <v>26939.77</v>
      </c>
      <c r="O29" s="74">
        <f t="shared" si="9"/>
        <v>8049.6</v>
      </c>
      <c r="P29" s="74">
        <f t="shared" ref="P29:P32" si="19">ROUND(N29*8.5%,0)</f>
        <v>2290</v>
      </c>
      <c r="Q29" s="74">
        <f t="shared" ref="Q29:Q32" si="20">N29+O29+P29</f>
        <v>37279.370000000003</v>
      </c>
      <c r="R29" s="78">
        <f t="shared" ref="R29:R32" si="21">O29+P29</f>
        <v>10339.6</v>
      </c>
      <c r="S29" s="142"/>
    </row>
    <row r="30" spans="1:19" x14ac:dyDescent="0.2">
      <c r="A30" s="133"/>
      <c r="B30" s="17" t="s">
        <v>46</v>
      </c>
      <c r="C30" s="136"/>
      <c r="D30" s="73">
        <v>1616.7499999999964</v>
      </c>
      <c r="E30" s="73">
        <f>ROUND(('IVC Nuova'!E29+'IVC Nuova'!H29)*12,2)</f>
        <v>1030.3599999999999</v>
      </c>
      <c r="F30" s="74">
        <v>6332.96</v>
      </c>
      <c r="G30" s="74">
        <f t="shared" si="18"/>
        <v>16281.619999999999</v>
      </c>
      <c r="H30" s="139"/>
      <c r="I30" s="75"/>
      <c r="J30" s="76"/>
      <c r="K30" s="139"/>
      <c r="L30" s="77">
        <f t="shared" si="2"/>
        <v>220.59</v>
      </c>
      <c r="M30" s="74"/>
      <c r="N30" s="74">
        <f>$C$28+D30+E30+$H$28+I30+$J$28+$K$28+L30</f>
        <v>26045.289999999997</v>
      </c>
      <c r="O30" s="74">
        <f t="shared" si="9"/>
        <v>7782.33</v>
      </c>
      <c r="P30" s="74">
        <f t="shared" si="19"/>
        <v>2214</v>
      </c>
      <c r="Q30" s="74">
        <f t="shared" si="20"/>
        <v>36041.619999999995</v>
      </c>
      <c r="R30" s="78">
        <f t="shared" si="21"/>
        <v>9996.33</v>
      </c>
      <c r="S30" s="142"/>
    </row>
    <row r="31" spans="1:19" x14ac:dyDescent="0.2">
      <c r="A31" s="133"/>
      <c r="B31" s="17" t="s">
        <v>47</v>
      </c>
      <c r="C31" s="136"/>
      <c r="D31" s="73">
        <v>845.61000000000058</v>
      </c>
      <c r="E31" s="73">
        <f>ROUND(('IVC Nuova'!E30+'IVC Nuova'!H30)*12,2)</f>
        <v>1000.79</v>
      </c>
      <c r="F31" s="74">
        <v>6332.96</v>
      </c>
      <c r="G31" s="74">
        <f t="shared" si="18"/>
        <v>15480.910000000003</v>
      </c>
      <c r="H31" s="139"/>
      <c r="I31" s="75"/>
      <c r="J31" s="76"/>
      <c r="K31" s="139"/>
      <c r="L31" s="77">
        <f t="shared" si="2"/>
        <v>153.87</v>
      </c>
      <c r="M31" s="74"/>
      <c r="N31" s="74">
        <f>$C$28+D31+E31+$H$28+I31+$J$28+$K$28+L31</f>
        <v>25177.86</v>
      </c>
      <c r="O31" s="74">
        <f t="shared" si="9"/>
        <v>7523.14</v>
      </c>
      <c r="P31" s="74">
        <f t="shared" si="19"/>
        <v>2140</v>
      </c>
      <c r="Q31" s="74">
        <f t="shared" si="20"/>
        <v>34841</v>
      </c>
      <c r="R31" s="78">
        <f t="shared" si="21"/>
        <v>9663.14</v>
      </c>
      <c r="S31" s="142"/>
    </row>
    <row r="32" spans="1:19" ht="26.25" thickBot="1" x14ac:dyDescent="0.25">
      <c r="A32" s="134"/>
      <c r="B32" s="79" t="s">
        <v>48</v>
      </c>
      <c r="C32" s="137"/>
      <c r="D32" s="80">
        <v>0</v>
      </c>
      <c r="E32" s="80">
        <f>ROUND(('IVC Nuova'!E31+'IVC Nuova'!H31)*12,2)</f>
        <v>968.45</v>
      </c>
      <c r="F32" s="81">
        <v>6332.96</v>
      </c>
      <c r="G32" s="81">
        <f t="shared" si="18"/>
        <v>14602.960000000003</v>
      </c>
      <c r="H32" s="140"/>
      <c r="I32" s="82"/>
      <c r="J32" s="83"/>
      <c r="K32" s="140"/>
      <c r="L32" s="84">
        <f t="shared" si="2"/>
        <v>80.7</v>
      </c>
      <c r="M32" s="81"/>
      <c r="N32" s="81">
        <f>$C$28+D32+E32+$H$28+I32+$J$28+$K$28+L32</f>
        <v>24226.74</v>
      </c>
      <c r="O32" s="81">
        <f t="shared" si="9"/>
        <v>7238.95</v>
      </c>
      <c r="P32" s="81">
        <f t="shared" si="19"/>
        <v>2059</v>
      </c>
      <c r="Q32" s="81">
        <f t="shared" si="20"/>
        <v>33524.69</v>
      </c>
      <c r="R32" s="85">
        <f t="shared" si="21"/>
        <v>9297.9500000000007</v>
      </c>
      <c r="S32" s="143"/>
    </row>
    <row r="33" spans="1:19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x14ac:dyDescent="0.2">
      <c r="A35" s="1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 t="s">
        <v>105</v>
      </c>
      <c r="B36" s="4"/>
      <c r="C36" s="4"/>
      <c r="D36" s="2"/>
      <c r="E36" s="4"/>
      <c r="F36" s="2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3.5" thickBo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64.5" thickBot="1" x14ac:dyDescent="0.25">
      <c r="A38" s="87" t="s">
        <v>1</v>
      </c>
      <c r="B38" s="86" t="s">
        <v>2</v>
      </c>
      <c r="C38" s="8" t="s">
        <v>54</v>
      </c>
      <c r="D38" s="86" t="s">
        <v>5</v>
      </c>
      <c r="E38" s="86" t="s">
        <v>6</v>
      </c>
      <c r="F38" s="86" t="s">
        <v>7</v>
      </c>
      <c r="G38" s="86" t="s">
        <v>9</v>
      </c>
      <c r="H38" s="86" t="s">
        <v>49</v>
      </c>
      <c r="I38" s="86" t="s">
        <v>12</v>
      </c>
      <c r="J38" s="86" t="s">
        <v>13</v>
      </c>
      <c r="K38" s="86" t="s">
        <v>14</v>
      </c>
      <c r="L38" s="86" t="s">
        <v>15</v>
      </c>
      <c r="M38" s="86" t="s">
        <v>16</v>
      </c>
      <c r="N38" s="88" t="s">
        <v>1</v>
      </c>
      <c r="O38" s="2"/>
      <c r="P38" s="2"/>
      <c r="Q38" s="2"/>
      <c r="R38" s="2"/>
      <c r="S38" s="2"/>
    </row>
    <row r="39" spans="1:19" ht="26.25" thickBot="1" x14ac:dyDescent="0.25">
      <c r="A39" s="89" t="s">
        <v>17</v>
      </c>
      <c r="B39" s="90">
        <v>26890.05</v>
      </c>
      <c r="C39" s="91">
        <f>E12</f>
        <v>1303.8</v>
      </c>
      <c r="D39" s="92">
        <v>6682.26</v>
      </c>
      <c r="E39" s="92">
        <f>B39+C39-D39</f>
        <v>21511.589999999997</v>
      </c>
      <c r="F39" s="92">
        <v>3359.4</v>
      </c>
      <c r="G39" s="92">
        <v>3099</v>
      </c>
      <c r="H39" s="92">
        <f>ROUND((B39+C39)/12,2)</f>
        <v>2349.4899999999998</v>
      </c>
      <c r="I39" s="92">
        <f>B39+C39+F39+G39+H39</f>
        <v>37001.74</v>
      </c>
      <c r="J39" s="92">
        <f>ROUND(E39*$Y$4+G39*$Y$5+F39*$Y$6+H39*$Y$7+D39*$Y$8,2)</f>
        <v>11818</v>
      </c>
      <c r="K39" s="92">
        <f>ROUND(I39*8.5%,0)</f>
        <v>3145</v>
      </c>
      <c r="L39" s="92">
        <f>I39+J39+K39</f>
        <v>51964.74</v>
      </c>
      <c r="M39" s="92">
        <f>J39+K39</f>
        <v>14963</v>
      </c>
      <c r="N39" s="93" t="s">
        <v>17</v>
      </c>
      <c r="O39" s="2"/>
      <c r="P39" s="2"/>
      <c r="Q39" s="2"/>
      <c r="R39" s="2"/>
      <c r="S39" s="2"/>
    </row>
    <row r="40" spans="1:19" ht="13.5" thickBot="1" x14ac:dyDescent="0.25">
      <c r="A40" s="94" t="s">
        <v>26</v>
      </c>
      <c r="B40" s="95">
        <v>23902.47</v>
      </c>
      <c r="C40" s="96">
        <f>E20</f>
        <v>1159.3399999999999</v>
      </c>
      <c r="D40" s="97">
        <v>6545.24</v>
      </c>
      <c r="E40" s="97">
        <f t="shared" ref="E40:E42" si="22">B40+C40-D40</f>
        <v>18516.57</v>
      </c>
      <c r="F40" s="97">
        <v>2842.16</v>
      </c>
      <c r="G40" s="97"/>
      <c r="H40" s="97">
        <f>ROUND((B40+C40)/12,2)</f>
        <v>2088.48</v>
      </c>
      <c r="I40" s="97">
        <f t="shared" ref="I40:I42" si="23">B40+C40+F40+G40+H40</f>
        <v>29992.45</v>
      </c>
      <c r="J40" s="97">
        <f>ROUND((I40)*$Z$4,2)</f>
        <v>8961.74</v>
      </c>
      <c r="K40" s="97">
        <f>ROUND(I40*8.5%,0)</f>
        <v>2549</v>
      </c>
      <c r="L40" s="97">
        <f t="shared" ref="L40:L42" si="24">I40+J40+K40</f>
        <v>41503.19</v>
      </c>
      <c r="M40" s="97">
        <f t="shared" ref="M40:M42" si="25">J40+K40</f>
        <v>11510.74</v>
      </c>
      <c r="N40" s="98" t="s">
        <v>26</v>
      </c>
      <c r="O40" s="2"/>
      <c r="P40" s="2"/>
      <c r="Q40" s="2"/>
      <c r="R40" s="2"/>
      <c r="S40" s="2"/>
    </row>
    <row r="41" spans="1:19" ht="13.5" thickBot="1" x14ac:dyDescent="0.25">
      <c r="A41" s="99" t="s">
        <v>35</v>
      </c>
      <c r="B41" s="100">
        <v>20952.599999999999</v>
      </c>
      <c r="C41" s="101">
        <f>E27</f>
        <v>1016.17</v>
      </c>
      <c r="D41" s="102">
        <v>6450.08</v>
      </c>
      <c r="E41" s="102">
        <f t="shared" si="22"/>
        <v>15518.689999999997</v>
      </c>
      <c r="F41" s="102">
        <v>2053.9700000000003</v>
      </c>
      <c r="G41" s="102"/>
      <c r="H41" s="102">
        <f>ROUND((B41+C41)/12,2)</f>
        <v>1830.73</v>
      </c>
      <c r="I41" s="102">
        <f t="shared" si="23"/>
        <v>25853.469999999998</v>
      </c>
      <c r="J41" s="102">
        <f t="shared" ref="J41:J42" si="26">ROUND((I41)*$Z$4,2)</f>
        <v>7725.02</v>
      </c>
      <c r="K41" s="102">
        <f t="shared" ref="K41:K42" si="27">ROUND(I41*8.5%,0)</f>
        <v>2198</v>
      </c>
      <c r="L41" s="102">
        <f t="shared" si="24"/>
        <v>35776.49</v>
      </c>
      <c r="M41" s="102">
        <f t="shared" si="25"/>
        <v>9923.02</v>
      </c>
      <c r="N41" s="103" t="s">
        <v>35</v>
      </c>
      <c r="O41" s="2"/>
      <c r="P41" s="2"/>
      <c r="Q41" s="2"/>
      <c r="R41" s="2"/>
      <c r="S41" s="2"/>
    </row>
    <row r="42" spans="1:19" ht="13.5" thickBot="1" x14ac:dyDescent="0.25">
      <c r="A42" s="104" t="s">
        <v>43</v>
      </c>
      <c r="B42" s="105">
        <v>19967.47</v>
      </c>
      <c r="C42" s="106">
        <f>E32</f>
        <v>968.45</v>
      </c>
      <c r="D42" s="107">
        <v>6332.96</v>
      </c>
      <c r="E42" s="107">
        <f t="shared" si="22"/>
        <v>14602.960000000003</v>
      </c>
      <c r="F42" s="107">
        <v>1546.1599999999999</v>
      </c>
      <c r="G42" s="107"/>
      <c r="H42" s="107">
        <f>ROUND((B42+C42)/12,2)</f>
        <v>1744.66</v>
      </c>
      <c r="I42" s="107">
        <f t="shared" si="23"/>
        <v>24226.74</v>
      </c>
      <c r="J42" s="107">
        <f t="shared" si="26"/>
        <v>7238.95</v>
      </c>
      <c r="K42" s="107">
        <f t="shared" si="27"/>
        <v>2059</v>
      </c>
      <c r="L42" s="107">
        <f t="shared" si="24"/>
        <v>33524.69</v>
      </c>
      <c r="M42" s="107">
        <f t="shared" si="25"/>
        <v>9297.9500000000007</v>
      </c>
      <c r="N42" s="108" t="s">
        <v>43</v>
      </c>
      <c r="O42" s="2"/>
      <c r="P42" s="2"/>
      <c r="Q42" s="2"/>
      <c r="R42" s="2"/>
      <c r="S42" s="2"/>
    </row>
  </sheetData>
  <mergeCells count="22">
    <mergeCell ref="Z4:Z8"/>
    <mergeCell ref="A5:A12"/>
    <mergeCell ref="C5:C12"/>
    <mergeCell ref="H5:H12"/>
    <mergeCell ref="J5:J12"/>
    <mergeCell ref="K5:K12"/>
    <mergeCell ref="S5:S12"/>
    <mergeCell ref="A21:A27"/>
    <mergeCell ref="C21:C27"/>
    <mergeCell ref="H21:H27"/>
    <mergeCell ref="K21:K27"/>
    <mergeCell ref="S21:S27"/>
    <mergeCell ref="A13:A20"/>
    <mergeCell ref="C13:C20"/>
    <mergeCell ref="H13:H20"/>
    <mergeCell ref="K13:K20"/>
    <mergeCell ref="S13:S20"/>
    <mergeCell ref="A28:A32"/>
    <mergeCell ref="C28:C32"/>
    <mergeCell ref="H28:H32"/>
    <mergeCell ref="K28:K32"/>
    <mergeCell ref="S28:S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BD50-A943-4D7B-BD68-08A8796CAA1E}">
  <dimension ref="A1:K34"/>
  <sheetViews>
    <sheetView workbookViewId="0">
      <selection activeCell="H3" sqref="H3:H10"/>
    </sheetView>
  </sheetViews>
  <sheetFormatPr defaultRowHeight="12.75" x14ac:dyDescent="0.2"/>
  <cols>
    <col min="1" max="1" width="10.5703125" customWidth="1"/>
    <col min="2" max="2" width="11.85546875" customWidth="1"/>
    <col min="3" max="3" width="14.140625" customWidth="1"/>
    <col min="4" max="4" width="14" customWidth="1"/>
    <col min="5" max="5" width="10.5703125" customWidth="1"/>
    <col min="6" max="6" width="21.85546875" customWidth="1"/>
  </cols>
  <sheetData>
    <row r="1" spans="1:11" x14ac:dyDescent="0.2">
      <c r="A1" s="110" t="s">
        <v>56</v>
      </c>
    </row>
    <row r="2" spans="1:11" ht="63.75" x14ac:dyDescent="0.2">
      <c r="A2" s="111" t="s">
        <v>57</v>
      </c>
      <c r="B2" s="112" t="s">
        <v>58</v>
      </c>
      <c r="C2" s="112" t="s">
        <v>59</v>
      </c>
      <c r="D2" s="112" t="s">
        <v>60</v>
      </c>
      <c r="E2" s="112" t="s">
        <v>61</v>
      </c>
      <c r="G2" s="112" t="s">
        <v>62</v>
      </c>
      <c r="H2" s="112" t="s">
        <v>63</v>
      </c>
      <c r="I2" s="131" t="s">
        <v>106</v>
      </c>
      <c r="J2" s="131" t="s">
        <v>107</v>
      </c>
      <c r="K2" s="131" t="s">
        <v>108</v>
      </c>
    </row>
    <row r="3" spans="1:11" x14ac:dyDescent="0.2">
      <c r="A3" s="113" t="s">
        <v>64</v>
      </c>
      <c r="B3" s="114">
        <v>9.48</v>
      </c>
      <c r="C3" s="114">
        <v>15.8</v>
      </c>
      <c r="D3" s="114">
        <v>15.8</v>
      </c>
      <c r="E3" s="114">
        <f>D3+D3*6.7</f>
        <v>121.66000000000001</v>
      </c>
      <c r="G3" s="114">
        <v>13.45</v>
      </c>
      <c r="H3" s="114">
        <v>22.41</v>
      </c>
      <c r="K3" s="122"/>
    </row>
    <row r="4" spans="1:11" x14ac:dyDescent="0.2">
      <c r="A4" s="113" t="s">
        <v>65</v>
      </c>
      <c r="B4" s="114">
        <v>9.1999999999999993</v>
      </c>
      <c r="C4" s="114">
        <v>15.34</v>
      </c>
      <c r="D4" s="114">
        <v>15.34</v>
      </c>
      <c r="E4" s="114">
        <f t="shared" ref="E4:E34" si="0">D4+D4*6.7</f>
        <v>118.11800000000001</v>
      </c>
      <c r="G4" s="114">
        <v>13.45</v>
      </c>
      <c r="H4" s="114">
        <v>22.41</v>
      </c>
      <c r="K4" s="122"/>
    </row>
    <row r="5" spans="1:11" x14ac:dyDescent="0.2">
      <c r="A5" s="113" t="s">
        <v>66</v>
      </c>
      <c r="B5" s="114">
        <v>8.85</v>
      </c>
      <c r="C5" s="114">
        <v>14.75</v>
      </c>
      <c r="D5" s="114">
        <v>14.75</v>
      </c>
      <c r="E5" s="114">
        <f t="shared" si="0"/>
        <v>113.575</v>
      </c>
      <c r="G5" s="114">
        <v>13.45</v>
      </c>
      <c r="H5" s="114">
        <v>22.41</v>
      </c>
      <c r="K5" s="122"/>
    </row>
    <row r="6" spans="1:11" x14ac:dyDescent="0.2">
      <c r="A6" s="113" t="s">
        <v>67</v>
      </c>
      <c r="B6" s="114">
        <v>8.51</v>
      </c>
      <c r="C6" s="114">
        <v>14.19</v>
      </c>
      <c r="D6" s="114">
        <v>14.19</v>
      </c>
      <c r="E6" s="114">
        <f t="shared" si="0"/>
        <v>109.26299999999999</v>
      </c>
      <c r="G6" s="114">
        <v>13.45</v>
      </c>
      <c r="H6" s="114">
        <v>22.41</v>
      </c>
      <c r="K6" s="122"/>
    </row>
    <row r="7" spans="1:11" x14ac:dyDescent="0.2">
      <c r="A7" s="113" t="s">
        <v>68</v>
      </c>
      <c r="B7" s="114">
        <v>8.15</v>
      </c>
      <c r="C7" s="114">
        <v>13.58</v>
      </c>
      <c r="D7" s="114">
        <v>13.58</v>
      </c>
      <c r="E7" s="114">
        <f t="shared" si="0"/>
        <v>104.566</v>
      </c>
      <c r="G7" s="114">
        <v>13.45</v>
      </c>
      <c r="H7" s="114">
        <v>22.41</v>
      </c>
      <c r="K7" s="122"/>
    </row>
    <row r="8" spans="1:11" x14ac:dyDescent="0.2">
      <c r="A8" s="113" t="s">
        <v>69</v>
      </c>
      <c r="B8" s="114">
        <v>7.55</v>
      </c>
      <c r="C8" s="114">
        <v>12.59</v>
      </c>
      <c r="D8" s="114">
        <v>12.59</v>
      </c>
      <c r="E8" s="114">
        <f t="shared" si="0"/>
        <v>96.942999999999998</v>
      </c>
      <c r="G8" s="114">
        <v>13.45</v>
      </c>
      <c r="H8" s="114">
        <v>22.41</v>
      </c>
      <c r="K8" s="122"/>
    </row>
    <row r="9" spans="1:11" x14ac:dyDescent="0.2">
      <c r="A9" s="113" t="s">
        <v>70</v>
      </c>
      <c r="B9" s="114">
        <v>7.15</v>
      </c>
      <c r="C9" s="114">
        <v>11.91</v>
      </c>
      <c r="D9" s="114">
        <v>11.91</v>
      </c>
      <c r="E9" s="114">
        <f t="shared" si="0"/>
        <v>91.706999999999994</v>
      </c>
      <c r="G9" s="114">
        <v>13.45</v>
      </c>
      <c r="H9" s="114">
        <v>22.41</v>
      </c>
      <c r="K9" s="122"/>
    </row>
    <row r="10" spans="1:11" ht="25.5" x14ac:dyDescent="0.2">
      <c r="A10" s="113" t="s">
        <v>71</v>
      </c>
      <c r="B10" s="114">
        <v>6.72</v>
      </c>
      <c r="C10" s="114">
        <v>11.2</v>
      </c>
      <c r="D10" s="114">
        <v>11.2</v>
      </c>
      <c r="E10" s="114">
        <f t="shared" si="0"/>
        <v>86.24</v>
      </c>
      <c r="F10" s="115" t="s">
        <v>17</v>
      </c>
      <c r="G10" s="114">
        <v>13.45</v>
      </c>
      <c r="H10" s="114">
        <v>22.41</v>
      </c>
      <c r="I10">
        <f>+E10*12</f>
        <v>1034.8799999999999</v>
      </c>
      <c r="J10">
        <f>+G10*12+I10</f>
        <v>1196.2799999999997</v>
      </c>
      <c r="K10" s="122">
        <f>+H10*12+I10</f>
        <v>1303.8</v>
      </c>
    </row>
    <row r="11" spans="1:11" x14ac:dyDescent="0.2">
      <c r="A11" s="113" t="s">
        <v>72</v>
      </c>
      <c r="B11" s="114">
        <v>7.77</v>
      </c>
      <c r="C11" s="114">
        <v>12.94</v>
      </c>
      <c r="D11" s="114">
        <v>12.94</v>
      </c>
      <c r="E11" s="114">
        <f t="shared" si="0"/>
        <v>99.637999999999991</v>
      </c>
      <c r="G11" s="114">
        <v>11.95</v>
      </c>
      <c r="H11" s="114">
        <v>19.920000000000002</v>
      </c>
      <c r="I11">
        <f>+I10/12</f>
        <v>86.24</v>
      </c>
      <c r="J11">
        <f t="shared" ref="J11" si="1">+J10/12</f>
        <v>99.689999999999984</v>
      </c>
      <c r="K11">
        <f>+K10/12</f>
        <v>108.64999999999999</v>
      </c>
    </row>
    <row r="12" spans="1:11" x14ac:dyDescent="0.2">
      <c r="A12" s="113" t="s">
        <v>73</v>
      </c>
      <c r="B12" s="114">
        <v>7.54</v>
      </c>
      <c r="C12" s="114">
        <v>12.57</v>
      </c>
      <c r="D12" s="114">
        <v>12.57</v>
      </c>
      <c r="E12" s="114">
        <f t="shared" si="0"/>
        <v>96.789000000000016</v>
      </c>
      <c r="G12" s="114">
        <v>11.95</v>
      </c>
      <c r="H12" s="114">
        <v>19.920000000000002</v>
      </c>
      <c r="K12" s="122"/>
    </row>
    <row r="13" spans="1:11" x14ac:dyDescent="0.2">
      <c r="A13" s="113" t="s">
        <v>74</v>
      </c>
      <c r="B13" s="114">
        <v>7.28</v>
      </c>
      <c r="C13" s="114">
        <v>12.13</v>
      </c>
      <c r="D13" s="114">
        <v>12.13</v>
      </c>
      <c r="E13" s="114">
        <f t="shared" si="0"/>
        <v>93.400999999999996</v>
      </c>
      <c r="G13" s="114">
        <v>11.95</v>
      </c>
      <c r="H13" s="114">
        <v>19.920000000000002</v>
      </c>
      <c r="K13" s="122"/>
    </row>
    <row r="14" spans="1:11" x14ac:dyDescent="0.2">
      <c r="A14" s="113" t="s">
        <v>75</v>
      </c>
      <c r="B14" s="114">
        <v>7.02</v>
      </c>
      <c r="C14" s="114">
        <v>11.7</v>
      </c>
      <c r="D14" s="114">
        <v>11.7</v>
      </c>
      <c r="E14" s="114">
        <f t="shared" si="0"/>
        <v>90.09</v>
      </c>
      <c r="G14" s="114">
        <v>11.95</v>
      </c>
      <c r="H14" s="114">
        <v>19.920000000000002</v>
      </c>
      <c r="K14" s="122"/>
    </row>
    <row r="15" spans="1:11" x14ac:dyDescent="0.2">
      <c r="A15" s="113" t="s">
        <v>76</v>
      </c>
      <c r="B15" s="114">
        <v>6.78</v>
      </c>
      <c r="C15" s="114">
        <v>11.3</v>
      </c>
      <c r="D15" s="114">
        <v>11.3</v>
      </c>
      <c r="E15" s="114">
        <f t="shared" si="0"/>
        <v>87.01</v>
      </c>
      <c r="G15" s="114">
        <v>11.95</v>
      </c>
      <c r="H15" s="114">
        <v>19.920000000000002</v>
      </c>
      <c r="K15" s="122"/>
    </row>
    <row r="16" spans="1:11" x14ac:dyDescent="0.2">
      <c r="A16" s="113" t="s">
        <v>77</v>
      </c>
      <c r="B16" s="114">
        <v>6.45</v>
      </c>
      <c r="C16" s="114">
        <v>10.75</v>
      </c>
      <c r="D16" s="114">
        <v>10.75</v>
      </c>
      <c r="E16" s="114">
        <f t="shared" si="0"/>
        <v>82.775000000000006</v>
      </c>
      <c r="G16" s="114">
        <v>11.95</v>
      </c>
      <c r="H16" s="114">
        <v>19.920000000000002</v>
      </c>
      <c r="K16" s="122"/>
    </row>
    <row r="17" spans="1:11" x14ac:dyDescent="0.2">
      <c r="A17" s="113" t="s">
        <v>78</v>
      </c>
      <c r="B17" s="114">
        <v>6.18</v>
      </c>
      <c r="C17" s="114">
        <v>10.31</v>
      </c>
      <c r="D17" s="114">
        <v>10.34</v>
      </c>
      <c r="E17" s="114">
        <f t="shared" si="0"/>
        <v>79.618000000000009</v>
      </c>
      <c r="G17" s="114">
        <v>11.95</v>
      </c>
      <c r="H17" s="114">
        <v>19.920000000000002</v>
      </c>
      <c r="K17" s="122"/>
    </row>
    <row r="18" spans="1:11" x14ac:dyDescent="0.2">
      <c r="A18" s="113" t="s">
        <v>79</v>
      </c>
      <c r="B18" s="114">
        <v>5.95</v>
      </c>
      <c r="C18" s="114">
        <v>9.92</v>
      </c>
      <c r="D18" s="114">
        <v>9.9600000000000009</v>
      </c>
      <c r="E18" s="114">
        <f t="shared" si="0"/>
        <v>76.692000000000007</v>
      </c>
      <c r="F18" s="115" t="s">
        <v>26</v>
      </c>
      <c r="G18" s="114">
        <v>11.95</v>
      </c>
      <c r="H18" s="114">
        <v>19.920000000000002</v>
      </c>
      <c r="I18">
        <f>+E18*12</f>
        <v>920.30400000000009</v>
      </c>
      <c r="J18">
        <f>+G18*12+I18</f>
        <v>1063.7040000000002</v>
      </c>
      <c r="K18" s="122">
        <f>+H18*12+I18</f>
        <v>1159.3440000000001</v>
      </c>
    </row>
    <row r="19" spans="1:11" x14ac:dyDescent="0.2">
      <c r="A19" s="113" t="s">
        <v>80</v>
      </c>
      <c r="B19" s="114">
        <v>6.44</v>
      </c>
      <c r="C19" s="114">
        <v>10.74</v>
      </c>
      <c r="D19" s="114">
        <v>10.74</v>
      </c>
      <c r="E19" s="114">
        <f t="shared" si="0"/>
        <v>82.697999999999993</v>
      </c>
      <c r="G19" s="114">
        <v>10.48</v>
      </c>
      <c r="H19" s="114">
        <v>17.46</v>
      </c>
      <c r="I19">
        <f>+I18/12</f>
        <v>76.692000000000007</v>
      </c>
      <c r="J19">
        <f t="shared" ref="J19:K19" si="2">+J18/12</f>
        <v>88.64200000000001</v>
      </c>
      <c r="K19">
        <f t="shared" si="2"/>
        <v>96.612000000000009</v>
      </c>
    </row>
    <row r="20" spans="1:11" x14ac:dyDescent="0.2">
      <c r="A20" s="113" t="s">
        <v>81</v>
      </c>
      <c r="B20" s="114">
        <v>6.24</v>
      </c>
      <c r="C20" s="114">
        <v>10.41</v>
      </c>
      <c r="D20" s="114">
        <v>10.43</v>
      </c>
      <c r="E20" s="114">
        <f t="shared" si="0"/>
        <v>80.311000000000007</v>
      </c>
      <c r="G20" s="114">
        <v>10.48</v>
      </c>
      <c r="H20" s="114">
        <v>17.46</v>
      </c>
      <c r="K20" s="122"/>
    </row>
    <row r="21" spans="1:11" x14ac:dyDescent="0.2">
      <c r="A21" s="113" t="s">
        <v>82</v>
      </c>
      <c r="B21" s="114">
        <v>6.05</v>
      </c>
      <c r="C21" s="114">
        <v>10.08</v>
      </c>
      <c r="D21" s="114">
        <v>10.11</v>
      </c>
      <c r="E21" s="114">
        <f t="shared" si="0"/>
        <v>77.846999999999994</v>
      </c>
      <c r="G21" s="114">
        <v>10.48</v>
      </c>
      <c r="H21" s="114">
        <v>17.46</v>
      </c>
      <c r="K21" s="122"/>
    </row>
    <row r="22" spans="1:11" x14ac:dyDescent="0.2">
      <c r="A22" s="113" t="s">
        <v>83</v>
      </c>
      <c r="B22" s="114">
        <v>5.86</v>
      </c>
      <c r="C22" s="114">
        <v>9.76</v>
      </c>
      <c r="D22" s="114">
        <v>9.8000000000000007</v>
      </c>
      <c r="E22" s="114">
        <f t="shared" si="0"/>
        <v>75.460000000000008</v>
      </c>
      <c r="G22" s="114">
        <v>10.48</v>
      </c>
      <c r="H22" s="114">
        <v>17.46</v>
      </c>
      <c r="K22" s="122"/>
    </row>
    <row r="23" spans="1:11" x14ac:dyDescent="0.2">
      <c r="A23" s="113" t="s">
        <v>84</v>
      </c>
      <c r="B23" s="114">
        <v>5.67</v>
      </c>
      <c r="C23" s="114">
        <v>9.4600000000000009</v>
      </c>
      <c r="D23" s="114">
        <v>9.51</v>
      </c>
      <c r="E23" s="114">
        <f t="shared" si="0"/>
        <v>73.227000000000004</v>
      </c>
      <c r="G23" s="114">
        <v>10.48</v>
      </c>
      <c r="H23" s="114">
        <v>17.46</v>
      </c>
      <c r="K23" s="122"/>
    </row>
    <row r="24" spans="1:11" x14ac:dyDescent="0.2">
      <c r="A24" s="113" t="s">
        <v>85</v>
      </c>
      <c r="B24" s="114">
        <v>5.4</v>
      </c>
      <c r="C24" s="114">
        <v>8.99</v>
      </c>
      <c r="D24" s="114">
        <v>9.06</v>
      </c>
      <c r="E24" s="114">
        <f t="shared" si="0"/>
        <v>69.762</v>
      </c>
      <c r="G24" s="114">
        <v>10.48</v>
      </c>
      <c r="H24" s="114">
        <v>17.46</v>
      </c>
      <c r="K24" s="122"/>
    </row>
    <row r="25" spans="1:11" x14ac:dyDescent="0.2">
      <c r="A25" s="113" t="s">
        <v>86</v>
      </c>
      <c r="B25" s="114">
        <v>5.19</v>
      </c>
      <c r="C25" s="114">
        <v>8.65</v>
      </c>
      <c r="D25" s="114">
        <v>8.73</v>
      </c>
      <c r="E25" s="114">
        <f t="shared" si="0"/>
        <v>67.221000000000004</v>
      </c>
      <c r="F25" s="115" t="s">
        <v>35</v>
      </c>
      <c r="G25" s="114">
        <v>10.48</v>
      </c>
      <c r="H25" s="114">
        <v>17.46</v>
      </c>
      <c r="I25">
        <f>+E25*12</f>
        <v>806.65200000000004</v>
      </c>
      <c r="J25">
        <f>+G25*12+I25</f>
        <v>932.41200000000003</v>
      </c>
      <c r="K25" s="122">
        <f>+H25*12+I25</f>
        <v>1016.172</v>
      </c>
    </row>
    <row r="26" spans="1:11" x14ac:dyDescent="0.2">
      <c r="A26" s="116" t="s">
        <v>87</v>
      </c>
      <c r="B26" s="117">
        <v>5.09</v>
      </c>
      <c r="C26" s="117">
        <v>8.48</v>
      </c>
      <c r="D26" s="117">
        <v>8.57</v>
      </c>
      <c r="E26" s="117">
        <f t="shared" si="0"/>
        <v>65.989000000000004</v>
      </c>
      <c r="F26" s="118"/>
      <c r="G26" s="117">
        <v>10.48</v>
      </c>
      <c r="H26" s="117">
        <v>17.46</v>
      </c>
      <c r="I26">
        <f>+I25/12</f>
        <v>67.221000000000004</v>
      </c>
      <c r="J26">
        <f t="shared" ref="J26:K26" si="3">+J25/12</f>
        <v>77.701000000000008</v>
      </c>
      <c r="K26">
        <f t="shared" si="3"/>
        <v>84.680999999999997</v>
      </c>
    </row>
    <row r="27" spans="1:11" x14ac:dyDescent="0.2">
      <c r="A27" s="119" t="s">
        <v>88</v>
      </c>
      <c r="B27" s="114">
        <v>5.73</v>
      </c>
      <c r="C27" s="114">
        <v>9.5500000000000007</v>
      </c>
      <c r="D27" s="114">
        <v>9.5500000000000007</v>
      </c>
      <c r="E27" s="114">
        <f t="shared" si="0"/>
        <v>73.535000000000011</v>
      </c>
      <c r="G27" s="114">
        <v>9.98</v>
      </c>
      <c r="H27" s="114">
        <v>16.64</v>
      </c>
      <c r="K27" s="122"/>
    </row>
    <row r="28" spans="1:11" x14ac:dyDescent="0.2">
      <c r="A28" s="119" t="s">
        <v>89</v>
      </c>
      <c r="B28" s="114">
        <v>5.56</v>
      </c>
      <c r="C28" s="114">
        <v>9.26</v>
      </c>
      <c r="D28" s="114">
        <v>9.32</v>
      </c>
      <c r="E28" s="114">
        <f t="shared" si="0"/>
        <v>71.76400000000001</v>
      </c>
      <c r="G28" s="114">
        <v>9.98</v>
      </c>
      <c r="H28" s="114">
        <v>16.64</v>
      </c>
      <c r="K28" s="122"/>
    </row>
    <row r="29" spans="1:11" x14ac:dyDescent="0.2">
      <c r="A29" s="119" t="s">
        <v>90</v>
      </c>
      <c r="B29" s="114">
        <v>5.35</v>
      </c>
      <c r="C29" s="114">
        <v>8.92</v>
      </c>
      <c r="D29" s="114">
        <v>8.99</v>
      </c>
      <c r="E29" s="114">
        <f t="shared" si="0"/>
        <v>69.222999999999999</v>
      </c>
      <c r="G29" s="114">
        <v>9.98</v>
      </c>
      <c r="H29" s="114">
        <v>16.64</v>
      </c>
      <c r="K29" s="122"/>
    </row>
    <row r="30" spans="1:11" x14ac:dyDescent="0.2">
      <c r="A30" s="119" t="s">
        <v>91</v>
      </c>
      <c r="B30" s="114">
        <v>5.15</v>
      </c>
      <c r="C30" s="114">
        <v>8.59</v>
      </c>
      <c r="D30" s="114">
        <v>8.67</v>
      </c>
      <c r="E30" s="114">
        <f t="shared" si="0"/>
        <v>66.759</v>
      </c>
      <c r="G30" s="114">
        <v>9.98</v>
      </c>
      <c r="H30" s="114">
        <v>16.64</v>
      </c>
      <c r="K30" s="122"/>
    </row>
    <row r="31" spans="1:11" x14ac:dyDescent="0.2">
      <c r="A31" s="119" t="s">
        <v>92</v>
      </c>
      <c r="B31" s="114">
        <v>4.93</v>
      </c>
      <c r="C31" s="114">
        <v>8.2200000000000006</v>
      </c>
      <c r="D31" s="114">
        <v>8.32</v>
      </c>
      <c r="E31" s="114">
        <f t="shared" si="0"/>
        <v>64.064000000000007</v>
      </c>
      <c r="F31" s="115" t="s">
        <v>43</v>
      </c>
      <c r="G31" s="114">
        <v>9.98</v>
      </c>
      <c r="H31" s="114">
        <v>16.64</v>
      </c>
      <c r="I31">
        <f>+E31*12</f>
        <v>768.76800000000003</v>
      </c>
      <c r="J31">
        <f>+G31*12+I31</f>
        <v>888.52800000000002</v>
      </c>
      <c r="K31" s="122">
        <f>+H31*12+I31</f>
        <v>968.44800000000009</v>
      </c>
    </row>
    <row r="32" spans="1:11" x14ac:dyDescent="0.2">
      <c r="A32" s="120" t="s">
        <v>93</v>
      </c>
      <c r="B32" s="117">
        <v>4.72</v>
      </c>
      <c r="C32" s="117">
        <v>7.87</v>
      </c>
      <c r="D32" s="117">
        <v>7.98</v>
      </c>
      <c r="E32" s="117">
        <f t="shared" si="0"/>
        <v>61.445999999999998</v>
      </c>
      <c r="F32" s="118"/>
      <c r="G32" s="117">
        <v>9.98</v>
      </c>
      <c r="H32" s="117">
        <v>16.64</v>
      </c>
      <c r="I32">
        <f>+I31/12</f>
        <v>64.064000000000007</v>
      </c>
      <c r="J32">
        <f t="shared" ref="J32:K32" si="4">+J31/12</f>
        <v>74.043999999999997</v>
      </c>
      <c r="K32">
        <f t="shared" si="4"/>
        <v>80.704000000000008</v>
      </c>
    </row>
    <row r="33" spans="1:11" x14ac:dyDescent="0.2">
      <c r="A33" s="120" t="s">
        <v>94</v>
      </c>
      <c r="B33" s="117">
        <v>4.4400000000000004</v>
      </c>
      <c r="C33" s="117">
        <v>7.41</v>
      </c>
      <c r="D33" s="117">
        <v>7.53</v>
      </c>
      <c r="E33" s="117">
        <f t="shared" si="0"/>
        <v>57.981000000000002</v>
      </c>
      <c r="F33" s="118"/>
      <c r="G33" s="117">
        <v>9.98</v>
      </c>
      <c r="H33" s="117">
        <v>16.64</v>
      </c>
      <c r="K33" s="122"/>
    </row>
    <row r="34" spans="1:11" x14ac:dyDescent="0.2">
      <c r="A34" s="121" t="s">
        <v>95</v>
      </c>
      <c r="B34" s="114">
        <v>3.91</v>
      </c>
      <c r="C34" s="114">
        <v>6.51</v>
      </c>
      <c r="D34" s="114">
        <v>6.64</v>
      </c>
      <c r="E34" s="114">
        <f t="shared" si="0"/>
        <v>51.128</v>
      </c>
      <c r="G34" s="114">
        <v>7.97</v>
      </c>
      <c r="H34" s="114">
        <v>13.29</v>
      </c>
      <c r="K34" s="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 gennaio a marzo 2025</vt:lpstr>
      <vt:lpstr>aprile - giugno 2025</vt:lpstr>
      <vt:lpstr>da luglio 2025</vt:lpstr>
      <vt:lpstr>IVC Nuova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Caponi</dc:creator>
  <cp:lastModifiedBy>CLAUDIA CAPONI D096387</cp:lastModifiedBy>
  <dcterms:created xsi:type="dcterms:W3CDTF">2024-04-24T10:06:58Z</dcterms:created>
  <dcterms:modified xsi:type="dcterms:W3CDTF">2025-04-28T13:05:12Z</dcterms:modified>
</cp:coreProperties>
</file>