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mo.unifi.it\FD_BILANCIO_E_FONDI\Bilancio di previsione Personale\TABELLE STIPENDIALI\CCNL 23_12_2025\"/>
    </mc:Choice>
  </mc:AlternateContent>
  <xr:revisionPtr revIDLastSave="0" documentId="13_ncr:1_{A03DC12C-BB0E-4D93-98E1-FF7222FAD5F8}" xr6:coauthVersionLast="47" xr6:coauthVersionMax="47" xr10:uidLastSave="{00000000-0000-0000-0000-000000000000}"/>
  <bookViews>
    <workbookView xWindow="25080" yWindow="-120" windowWidth="29040" windowHeight="15720" activeTab="3" xr2:uid="{D110E3D3-57E8-4B26-A4A5-5C8B228AAABF}"/>
  </bookViews>
  <sheets>
    <sheet name="NM BU 100%" sheetId="1" r:id="rId1"/>
    <sheet name="NM BU 83,33%" sheetId="9" r:id="rId2"/>
    <sheet name="NM BU 66,66%" sheetId="10" r:id="rId3"/>
    <sheet name="NM BU 50%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1" l="1"/>
  <c r="E35" i="11"/>
  <c r="C35" i="11"/>
  <c r="B35" i="11"/>
  <c r="L34" i="11"/>
  <c r="C34" i="11" s="1"/>
  <c r="E34" i="11"/>
  <c r="B34" i="11"/>
  <c r="L33" i="11"/>
  <c r="C33" i="11" s="1"/>
  <c r="E33" i="11"/>
  <c r="B33" i="11"/>
  <c r="L32" i="11"/>
  <c r="C32" i="11" s="1"/>
  <c r="E32" i="11"/>
  <c r="B32" i="11"/>
  <c r="L27" i="11"/>
  <c r="C27" i="11" s="1"/>
  <c r="E27" i="11"/>
  <c r="B27" i="11"/>
  <c r="L26" i="11"/>
  <c r="C26" i="11" s="1"/>
  <c r="E26" i="11"/>
  <c r="B26" i="11"/>
  <c r="L25" i="11"/>
  <c r="E25" i="11"/>
  <c r="C25" i="11"/>
  <c r="B25" i="11"/>
  <c r="L24" i="11"/>
  <c r="C24" i="11" s="1"/>
  <c r="E24" i="11"/>
  <c r="B24" i="11"/>
  <c r="E19" i="11"/>
  <c r="C19" i="11"/>
  <c r="D19" i="11" s="1"/>
  <c r="B19" i="11"/>
  <c r="E18" i="11"/>
  <c r="C18" i="11"/>
  <c r="B18" i="11"/>
  <c r="E17" i="11"/>
  <c r="C17" i="11"/>
  <c r="D17" i="11" s="1"/>
  <c r="B17" i="11"/>
  <c r="E16" i="11"/>
  <c r="C16" i="11"/>
  <c r="B16" i="11"/>
  <c r="E11" i="11"/>
  <c r="C11" i="11"/>
  <c r="D11" i="11" s="1"/>
  <c r="B11" i="11"/>
  <c r="E10" i="11"/>
  <c r="C10" i="11"/>
  <c r="B10" i="11"/>
  <c r="E9" i="11"/>
  <c r="C9" i="11"/>
  <c r="D9" i="11" s="1"/>
  <c r="B9" i="11"/>
  <c r="E8" i="11"/>
  <c r="C8" i="11"/>
  <c r="B8" i="11"/>
  <c r="E7" i="11"/>
  <c r="C7" i="11"/>
  <c r="D7" i="11" s="1"/>
  <c r="B7" i="11"/>
  <c r="L35" i="10"/>
  <c r="C35" i="10" s="1"/>
  <c r="E35" i="10"/>
  <c r="B35" i="10"/>
  <c r="L34" i="10"/>
  <c r="C34" i="10" s="1"/>
  <c r="E34" i="10"/>
  <c r="B34" i="10"/>
  <c r="L33" i="10"/>
  <c r="E33" i="10"/>
  <c r="C33" i="10"/>
  <c r="B33" i="10"/>
  <c r="L32" i="10"/>
  <c r="C32" i="10" s="1"/>
  <c r="E32" i="10"/>
  <c r="B32" i="10"/>
  <c r="L27" i="10"/>
  <c r="E27" i="10"/>
  <c r="C27" i="10"/>
  <c r="B27" i="10"/>
  <c r="L26" i="10"/>
  <c r="C26" i="10" s="1"/>
  <c r="E26" i="10"/>
  <c r="B26" i="10"/>
  <c r="L25" i="10"/>
  <c r="C25" i="10" s="1"/>
  <c r="E25" i="10"/>
  <c r="B25" i="10"/>
  <c r="L24" i="10"/>
  <c r="C24" i="10" s="1"/>
  <c r="E24" i="10"/>
  <c r="B24" i="10"/>
  <c r="E19" i="10"/>
  <c r="C19" i="10"/>
  <c r="B19" i="10"/>
  <c r="E18" i="10"/>
  <c r="C18" i="10"/>
  <c r="B18" i="10"/>
  <c r="D18" i="10" s="1"/>
  <c r="E17" i="10"/>
  <c r="C17" i="10"/>
  <c r="B17" i="10"/>
  <c r="E16" i="10"/>
  <c r="C16" i="10"/>
  <c r="B16" i="10"/>
  <c r="D16" i="10" s="1"/>
  <c r="E11" i="10"/>
  <c r="C11" i="10"/>
  <c r="B11" i="10"/>
  <c r="E10" i="10"/>
  <c r="C10" i="10"/>
  <c r="B10" i="10"/>
  <c r="D10" i="10" s="1"/>
  <c r="E9" i="10"/>
  <c r="C9" i="10"/>
  <c r="B9" i="10"/>
  <c r="E8" i="10"/>
  <c r="C8" i="10"/>
  <c r="B8" i="10"/>
  <c r="D8" i="10" s="1"/>
  <c r="E7" i="10"/>
  <c r="C7" i="10"/>
  <c r="B7" i="10"/>
  <c r="L35" i="9"/>
  <c r="E35" i="9"/>
  <c r="C35" i="9"/>
  <c r="B35" i="9"/>
  <c r="L34" i="9"/>
  <c r="C34" i="9" s="1"/>
  <c r="E34" i="9"/>
  <c r="B34" i="9"/>
  <c r="L33" i="9"/>
  <c r="E33" i="9"/>
  <c r="C33" i="9"/>
  <c r="B33" i="9"/>
  <c r="D33" i="9" s="1"/>
  <c r="L32" i="9"/>
  <c r="C32" i="9" s="1"/>
  <c r="E32" i="9"/>
  <c r="B32" i="9"/>
  <c r="L27" i="9"/>
  <c r="C27" i="9" s="1"/>
  <c r="D27" i="9" s="1"/>
  <c r="E27" i="9"/>
  <c r="B27" i="9"/>
  <c r="L26" i="9"/>
  <c r="C26" i="9" s="1"/>
  <c r="E26" i="9"/>
  <c r="B26" i="9"/>
  <c r="L25" i="9"/>
  <c r="C25" i="9" s="1"/>
  <c r="E25" i="9"/>
  <c r="B25" i="9"/>
  <c r="L24" i="9"/>
  <c r="C24" i="9" s="1"/>
  <c r="E24" i="9"/>
  <c r="B24" i="9"/>
  <c r="E19" i="9"/>
  <c r="C19" i="9"/>
  <c r="B19" i="9"/>
  <c r="E18" i="9"/>
  <c r="C18" i="9"/>
  <c r="B18" i="9"/>
  <c r="E17" i="9"/>
  <c r="C17" i="9"/>
  <c r="B17" i="9"/>
  <c r="E16" i="9"/>
  <c r="C16" i="9"/>
  <c r="B16" i="9"/>
  <c r="E11" i="9"/>
  <c r="C11" i="9"/>
  <c r="B11" i="9"/>
  <c r="E10" i="9"/>
  <c r="C10" i="9"/>
  <c r="B10" i="9"/>
  <c r="E9" i="9"/>
  <c r="C9" i="9"/>
  <c r="B9" i="9"/>
  <c r="D9" i="9" s="1"/>
  <c r="E8" i="9"/>
  <c r="C8" i="9"/>
  <c r="B8" i="9"/>
  <c r="E7" i="9"/>
  <c r="C7" i="9"/>
  <c r="B7" i="9"/>
  <c r="D7" i="9" s="1"/>
  <c r="E19" i="1"/>
  <c r="C19" i="1"/>
  <c r="B19" i="1"/>
  <c r="C18" i="1"/>
  <c r="E18" i="1"/>
  <c r="B18" i="1"/>
  <c r="C17" i="1"/>
  <c r="E17" i="1"/>
  <c r="B17" i="1"/>
  <c r="C16" i="1"/>
  <c r="E16" i="1"/>
  <c r="B16" i="1"/>
  <c r="C8" i="1"/>
  <c r="C9" i="1"/>
  <c r="C10" i="1"/>
  <c r="C11" i="1"/>
  <c r="C7" i="1"/>
  <c r="L35" i="1"/>
  <c r="C35" i="1" s="1"/>
  <c r="L34" i="1"/>
  <c r="C34" i="1" s="1"/>
  <c r="L33" i="1"/>
  <c r="C33" i="1" s="1"/>
  <c r="L32" i="1"/>
  <c r="C32" i="1" s="1"/>
  <c r="E35" i="1"/>
  <c r="B35" i="1"/>
  <c r="E34" i="1"/>
  <c r="B34" i="1"/>
  <c r="E33" i="1"/>
  <c r="B33" i="1"/>
  <c r="E32" i="1"/>
  <c r="B32" i="1"/>
  <c r="L27" i="1"/>
  <c r="C27" i="1" s="1"/>
  <c r="L26" i="1"/>
  <c r="C26" i="1" s="1"/>
  <c r="L25" i="1"/>
  <c r="C25" i="1" s="1"/>
  <c r="L24" i="1"/>
  <c r="C24" i="1" s="1"/>
  <c r="D8" i="11" l="1"/>
  <c r="F8" i="11" s="1"/>
  <c r="D16" i="11"/>
  <c r="F16" i="11" s="1"/>
  <c r="D24" i="11"/>
  <c r="D10" i="11"/>
  <c r="D18" i="11"/>
  <c r="D7" i="10"/>
  <c r="D11" i="10"/>
  <c r="F11" i="10" s="1"/>
  <c r="D19" i="10"/>
  <c r="D33" i="10"/>
  <c r="D25" i="9"/>
  <c r="F25" i="9" s="1"/>
  <c r="D32" i="9"/>
  <c r="D19" i="1"/>
  <c r="F19" i="1"/>
  <c r="H19" i="1" s="1"/>
  <c r="D16" i="1"/>
  <c r="D18" i="1"/>
  <c r="F18" i="1" s="1"/>
  <c r="F17" i="9"/>
  <c r="G17" i="9" s="1"/>
  <c r="I17" i="9" s="1"/>
  <c r="D8" i="9"/>
  <c r="F8" i="9" s="1"/>
  <c r="D10" i="9"/>
  <c r="F10" i="9" s="1"/>
  <c r="D11" i="9"/>
  <c r="F11" i="9" s="1"/>
  <c r="H11" i="9" s="1"/>
  <c r="D16" i="9"/>
  <c r="F16" i="9" s="1"/>
  <c r="D17" i="9"/>
  <c r="D18" i="9"/>
  <c r="F18" i="9" s="1"/>
  <c r="D19" i="9"/>
  <c r="F19" i="9" s="1"/>
  <c r="H19" i="9" s="1"/>
  <c r="D24" i="9"/>
  <c r="F27" i="9"/>
  <c r="G27" i="9" s="1"/>
  <c r="I27" i="9" s="1"/>
  <c r="F32" i="9"/>
  <c r="H32" i="9" s="1"/>
  <c r="D32" i="10"/>
  <c r="F32" i="10" s="1"/>
  <c r="D9" i="10"/>
  <c r="D17" i="10"/>
  <c r="D25" i="10"/>
  <c r="F25" i="10" s="1"/>
  <c r="D27" i="10"/>
  <c r="F27" i="10" s="1"/>
  <c r="D33" i="11"/>
  <c r="F33" i="11" s="1"/>
  <c r="F25" i="11"/>
  <c r="H25" i="11" s="1"/>
  <c r="F7" i="11"/>
  <c r="H7" i="11" s="1"/>
  <c r="F9" i="11"/>
  <c r="H9" i="11" s="1"/>
  <c r="F10" i="11"/>
  <c r="G10" i="11" s="1"/>
  <c r="F11" i="11"/>
  <c r="H11" i="11" s="1"/>
  <c r="F17" i="11"/>
  <c r="H17" i="11" s="1"/>
  <c r="F18" i="11"/>
  <c r="G18" i="11" s="1"/>
  <c r="F19" i="11"/>
  <c r="D25" i="11"/>
  <c r="D32" i="11"/>
  <c r="F32" i="11" s="1"/>
  <c r="F26" i="11"/>
  <c r="G7" i="11"/>
  <c r="G11" i="11"/>
  <c r="H19" i="11"/>
  <c r="G19" i="11"/>
  <c r="I19" i="11" s="1"/>
  <c r="F24" i="11"/>
  <c r="D26" i="11"/>
  <c r="D34" i="11"/>
  <c r="F34" i="11" s="1"/>
  <c r="D27" i="11"/>
  <c r="F27" i="11" s="1"/>
  <c r="D35" i="11"/>
  <c r="F35" i="11" s="1"/>
  <c r="D24" i="10"/>
  <c r="F24" i="10" s="1"/>
  <c r="F35" i="10"/>
  <c r="F7" i="10"/>
  <c r="F8" i="10"/>
  <c r="F16" i="10"/>
  <c r="F17" i="10"/>
  <c r="F18" i="10"/>
  <c r="F19" i="10"/>
  <c r="D26" i="10"/>
  <c r="F26" i="10" s="1"/>
  <c r="D34" i="10"/>
  <c r="F34" i="10" s="1"/>
  <c r="F33" i="10"/>
  <c r="D35" i="10"/>
  <c r="F9" i="10"/>
  <c r="F10" i="10"/>
  <c r="H27" i="9"/>
  <c r="H17" i="9"/>
  <c r="F24" i="9"/>
  <c r="F7" i="9"/>
  <c r="F9" i="9"/>
  <c r="D26" i="9"/>
  <c r="F26" i="9" s="1"/>
  <c r="D34" i="9"/>
  <c r="F34" i="9" s="1"/>
  <c r="F33" i="9"/>
  <c r="D35" i="9"/>
  <c r="F35" i="9" s="1"/>
  <c r="D17" i="1"/>
  <c r="G19" i="1"/>
  <c r="F16" i="1"/>
  <c r="F17" i="1"/>
  <c r="D33" i="1"/>
  <c r="F33" i="1" s="1"/>
  <c r="H33" i="1" s="1"/>
  <c r="D32" i="1"/>
  <c r="F32" i="1" s="1"/>
  <c r="H32" i="1" s="1"/>
  <c r="D34" i="1"/>
  <c r="F34" i="1" s="1"/>
  <c r="D35" i="1"/>
  <c r="F35" i="1" s="1"/>
  <c r="H16" i="11" l="1"/>
  <c r="I16" i="11" s="1"/>
  <c r="G16" i="11"/>
  <c r="G8" i="11"/>
  <c r="H8" i="11"/>
  <c r="I11" i="11"/>
  <c r="H18" i="11"/>
  <c r="I18" i="11" s="1"/>
  <c r="H10" i="11"/>
  <c r="G18" i="9"/>
  <c r="I18" i="9" s="1"/>
  <c r="H18" i="9"/>
  <c r="G10" i="9"/>
  <c r="H10" i="9"/>
  <c r="G32" i="9"/>
  <c r="I32" i="9" s="1"/>
  <c r="I19" i="1"/>
  <c r="G16" i="9"/>
  <c r="H16" i="9"/>
  <c r="G19" i="9"/>
  <c r="I19" i="9" s="1"/>
  <c r="G11" i="9"/>
  <c r="I11" i="9" s="1"/>
  <c r="H27" i="10"/>
  <c r="G27" i="10"/>
  <c r="I27" i="10" s="1"/>
  <c r="G32" i="11"/>
  <c r="H32" i="11"/>
  <c r="G25" i="11"/>
  <c r="I25" i="11" s="1"/>
  <c r="G17" i="11"/>
  <c r="I17" i="11" s="1"/>
  <c r="G9" i="11"/>
  <c r="I9" i="11" s="1"/>
  <c r="H35" i="11"/>
  <c r="G35" i="11"/>
  <c r="H27" i="11"/>
  <c r="G27" i="11"/>
  <c r="I27" i="11" s="1"/>
  <c r="G34" i="11"/>
  <c r="H34" i="11"/>
  <c r="H33" i="11"/>
  <c r="G33" i="11"/>
  <c r="I33" i="11" s="1"/>
  <c r="I7" i="11"/>
  <c r="I32" i="11"/>
  <c r="G26" i="11"/>
  <c r="H26" i="11"/>
  <c r="H24" i="11"/>
  <c r="G24" i="11"/>
  <c r="I10" i="11"/>
  <c r="I8" i="11"/>
  <c r="G26" i="10"/>
  <c r="H26" i="10"/>
  <c r="H10" i="10"/>
  <c r="G10" i="10"/>
  <c r="H25" i="10"/>
  <c r="G25" i="10"/>
  <c r="H24" i="10"/>
  <c r="G24" i="10"/>
  <c r="H16" i="10"/>
  <c r="G16" i="10"/>
  <c r="G34" i="10"/>
  <c r="H34" i="10"/>
  <c r="H9" i="10"/>
  <c r="G9" i="10"/>
  <c r="H19" i="10"/>
  <c r="G19" i="10"/>
  <c r="H11" i="10"/>
  <c r="G11" i="10"/>
  <c r="H35" i="10"/>
  <c r="G35" i="10"/>
  <c r="H32" i="10"/>
  <c r="G32" i="10"/>
  <c r="H18" i="10"/>
  <c r="G18" i="10"/>
  <c r="H8" i="10"/>
  <c r="G8" i="10"/>
  <c r="H33" i="10"/>
  <c r="G33" i="10"/>
  <c r="H17" i="10"/>
  <c r="G17" i="10"/>
  <c r="H7" i="10"/>
  <c r="G7" i="10"/>
  <c r="H35" i="9"/>
  <c r="G35" i="9"/>
  <c r="G34" i="9"/>
  <c r="H34" i="9"/>
  <c r="H33" i="9"/>
  <c r="G33" i="9"/>
  <c r="I33" i="9" s="1"/>
  <c r="H9" i="9"/>
  <c r="G9" i="9"/>
  <c r="H24" i="9"/>
  <c r="G24" i="9"/>
  <c r="I24" i="9" s="1"/>
  <c r="H25" i="9"/>
  <c r="G25" i="9"/>
  <c r="H8" i="9"/>
  <c r="G8" i="9"/>
  <c r="I8" i="9" s="1"/>
  <c r="G26" i="9"/>
  <c r="H26" i="9"/>
  <c r="H7" i="9"/>
  <c r="G7" i="9"/>
  <c r="I7" i="9" s="1"/>
  <c r="I16" i="9"/>
  <c r="I10" i="9"/>
  <c r="H17" i="1"/>
  <c r="G17" i="1"/>
  <c r="I17" i="1" s="1"/>
  <c r="H16" i="1"/>
  <c r="G16" i="1"/>
  <c r="I16" i="1" s="1"/>
  <c r="G18" i="1"/>
  <c r="H18" i="1"/>
  <c r="G33" i="1"/>
  <c r="I33" i="1" s="1"/>
  <c r="G32" i="1"/>
  <c r="I32" i="1" s="1"/>
  <c r="H35" i="1"/>
  <c r="G35" i="1"/>
  <c r="H34" i="1"/>
  <c r="G34" i="1"/>
  <c r="I24" i="11" l="1"/>
  <c r="I35" i="11"/>
  <c r="I35" i="9"/>
  <c r="I26" i="9"/>
  <c r="I34" i="9"/>
  <c r="I34" i="10"/>
  <c r="I17" i="10"/>
  <c r="I8" i="10"/>
  <c r="I32" i="10"/>
  <c r="I11" i="10"/>
  <c r="I9" i="10"/>
  <c r="I16" i="10"/>
  <c r="I25" i="10"/>
  <c r="I34" i="11"/>
  <c r="I26" i="11"/>
  <c r="I26" i="10"/>
  <c r="I7" i="10"/>
  <c r="I33" i="10"/>
  <c r="I18" i="10"/>
  <c r="I35" i="10"/>
  <c r="I19" i="10"/>
  <c r="I24" i="10"/>
  <c r="I10" i="10"/>
  <c r="I25" i="9"/>
  <c r="I9" i="9"/>
  <c r="I18" i="1"/>
  <c r="I34" i="1"/>
  <c r="I35" i="1"/>
  <c r="E24" i="1" l="1"/>
  <c r="B27" i="1"/>
  <c r="B26" i="1"/>
  <c r="B25" i="1"/>
  <c r="B24" i="1"/>
  <c r="E27" i="1"/>
  <c r="B11" i="1"/>
  <c r="E26" i="1"/>
  <c r="B10" i="1"/>
  <c r="E25" i="1"/>
  <c r="E9" i="1"/>
  <c r="B9" i="1"/>
  <c r="E8" i="1"/>
  <c r="B8" i="1"/>
  <c r="E7" i="1"/>
  <c r="B7" i="1"/>
  <c r="D24" i="1" l="1"/>
  <c r="F24" i="1" s="1"/>
  <c r="D25" i="1"/>
  <c r="F25" i="1" s="1"/>
  <c r="D26" i="1"/>
  <c r="F26" i="1" s="1"/>
  <c r="D9" i="1"/>
  <c r="F9" i="1" s="1"/>
  <c r="D10" i="1"/>
  <c r="D7" i="1"/>
  <c r="F7" i="1" s="1"/>
  <c r="E10" i="1"/>
  <c r="D11" i="1"/>
  <c r="D27" i="1"/>
  <c r="F27" i="1" s="1"/>
  <c r="D8" i="1"/>
  <c r="F8" i="1" s="1"/>
  <c r="E11" i="1"/>
  <c r="H24" i="1" l="1"/>
  <c r="G24" i="1"/>
  <c r="G7" i="1"/>
  <c r="H7" i="1"/>
  <c r="H27" i="1"/>
  <c r="G27" i="1"/>
  <c r="H26" i="1"/>
  <c r="G26" i="1"/>
  <c r="G9" i="1"/>
  <c r="H9" i="1"/>
  <c r="H8" i="1"/>
  <c r="G8" i="1"/>
  <c r="H25" i="1"/>
  <c r="G25" i="1"/>
  <c r="F10" i="1"/>
  <c r="F11" i="1"/>
  <c r="I25" i="1" l="1"/>
  <c r="I9" i="1"/>
  <c r="G11" i="1"/>
  <c r="H11" i="1"/>
  <c r="H10" i="1"/>
  <c r="G10" i="1"/>
  <c r="I8" i="1"/>
  <c r="I27" i="1"/>
  <c r="I24" i="1"/>
  <c r="I7" i="1"/>
  <c r="I26" i="1"/>
  <c r="I10" i="1" l="1"/>
  <c r="I11" i="1"/>
</calcChain>
</file>

<file path=xl/sharedStrings.xml><?xml version="1.0" encoding="utf-8"?>
<sst xmlns="http://schemas.openxmlformats.org/spreadsheetml/2006/main" count="336" uniqueCount="40">
  <si>
    <t>TABELLE STIPENDI MENSILI  PERSONALE A TEMPO DETERMINATO</t>
  </si>
  <si>
    <t>Inq</t>
  </si>
  <si>
    <t>stip. base con IIS conglobata</t>
  </si>
  <si>
    <t>IVC</t>
  </si>
  <si>
    <t>13 ma</t>
  </si>
  <si>
    <t>indenn. ateneo</t>
  </si>
  <si>
    <t>totale</t>
  </si>
  <si>
    <t>tot.lordo senza oneri</t>
  </si>
  <si>
    <t>oneri *</t>
  </si>
  <si>
    <t>costo mensile</t>
  </si>
  <si>
    <t>Valore annuo tabellare</t>
  </si>
  <si>
    <t>Indennità di Ateneo</t>
  </si>
  <si>
    <t>B 1</t>
  </si>
  <si>
    <t>B 3</t>
  </si>
  <si>
    <t>C 1</t>
  </si>
  <si>
    <t>D 1</t>
  </si>
  <si>
    <t>EP1</t>
  </si>
  <si>
    <t>Operatori</t>
  </si>
  <si>
    <t>Collaboratori</t>
  </si>
  <si>
    <t>Funzionari</t>
  </si>
  <si>
    <t>Elevate Professionalità</t>
  </si>
  <si>
    <t>*</t>
  </si>
  <si>
    <t>24,20% sul 100%</t>
  </si>
  <si>
    <t>7,68% solo su stipendio base e indennità di ateneo</t>
  </si>
  <si>
    <t>8,5% sul 100%</t>
  </si>
  <si>
    <t>1,61% sul 100%</t>
  </si>
  <si>
    <t>4,36% sul solo stipendio base (calcolato solo per la cat. EP)</t>
  </si>
  <si>
    <t xml:space="preserve">                                             </t>
  </si>
  <si>
    <t xml:space="preserve">   COSTI PER PERSONALE su fondi BILANCIO INPDAP (uguali o superiori all'anno)</t>
  </si>
  <si>
    <t xml:space="preserve">INPDAP FONDO PENSIONE: </t>
  </si>
  <si>
    <t xml:space="preserve">INPDAP TFR- 9,60% DELL'80%  DELLA RETRIBUZIONE: </t>
  </si>
  <si>
    <t xml:space="preserve">IRAP: </t>
  </si>
  <si>
    <t xml:space="preserve">INPS ASPI (EX DS): </t>
  </si>
  <si>
    <t xml:space="preserve">Maggiorazione 18% del contributo Fondo Pensione: </t>
  </si>
  <si>
    <t>Oneri a carico dell'Amministrazione:</t>
  </si>
  <si>
    <t>IVC 2025</t>
  </si>
  <si>
    <t>CCNL 2022/2024 siglato il 23/12/2025 valido dal 01/07/2025</t>
  </si>
  <si>
    <t>CCNL 2022/2024 siglato il 23/12/2025 valido dal 01/04/2025 al 30/06/2025</t>
  </si>
  <si>
    <t>CCNL 2022/2024 siglato il 23/12/2025 valido dal 01/01/2024 al 30/04/2024</t>
  </si>
  <si>
    <t>CCNL 2022/2024 siglato il 23/12/2025 valido dal 01/05/2024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</si>
</sst>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b/>
      <sz val="12"/>
      <color indexed="10"/>
      <name val="Verdana"/>
      <family val="2"/>
    </font>
    <font>
      <sz val="12"/>
      <name val="Verdana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  <xf numFmtId="0" fontId="1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/>
    <xf numFmtId="10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41" fontId="4" fillId="0" borderId="0" xfId="3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3" applyNumberFormat="1" applyFont="1" applyBorder="1" applyAlignment="1">
      <alignment vertical="center"/>
    </xf>
    <xf numFmtId="164" fontId="4" fillId="0" borderId="1" xfId="1" applyNumberFormat="1" applyFont="1" applyBorder="1"/>
    <xf numFmtId="164" fontId="3" fillId="0" borderId="1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8" fillId="0" borderId="0" xfId="3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1" applyNumberFormat="1" applyFont="1"/>
    <xf numFmtId="164" fontId="4" fillId="0" borderId="0" xfId="1" applyNumberFormat="1" applyFont="1" applyAlignment="1">
      <alignment vertical="center"/>
    </xf>
    <xf numFmtId="0" fontId="4" fillId="0" borderId="0" xfId="2" applyFont="1"/>
    <xf numFmtId="10" fontId="4" fillId="0" borderId="0" xfId="2" applyNumberFormat="1" applyFont="1"/>
    <xf numFmtId="1" fontId="4" fillId="0" borderId="0" xfId="1" applyNumberFormat="1" applyFont="1" applyAlignment="1">
      <alignment vertical="center"/>
    </xf>
    <xf numFmtId="41" fontId="9" fillId="0" borderId="0" xfId="3" applyFont="1" applyAlignment="1">
      <alignment vertical="center"/>
    </xf>
    <xf numFmtId="0" fontId="4" fillId="0" borderId="0" xfId="2" applyFont="1" applyAlignment="1">
      <alignment horizontal="right"/>
    </xf>
    <xf numFmtId="10" fontId="3" fillId="0" borderId="1" xfId="1" applyNumberFormat="1" applyFont="1" applyBorder="1" applyAlignment="1">
      <alignment horizontal="right"/>
    </xf>
    <xf numFmtId="0" fontId="4" fillId="0" borderId="0" xfId="0" applyFont="1"/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/>
  </cellXfs>
  <cellStyles count="7">
    <cellStyle name="Migliaia [0] 2" xfId="3" xr:uid="{7AE9D17A-C9A6-442D-B6E6-20097277D660}"/>
    <cellStyle name="Migliaia [0] 2 2" xfId="6" xr:uid="{3EE8A389-04F1-45C9-B7C5-7D7AA9918D08}"/>
    <cellStyle name="Migliaia [0] 3" xfId="5" xr:uid="{67E4A6E0-D4BC-44CD-84FC-039F21D4812A}"/>
    <cellStyle name="Normale" xfId="0" builtinId="0"/>
    <cellStyle name="Normale 2" xfId="1" xr:uid="{8626BFA6-123E-46E6-907B-89B9B3338479}"/>
    <cellStyle name="Normale 3" xfId="2" xr:uid="{635E0724-3A42-45D1-A9E2-5A592CB4D355}"/>
    <cellStyle name="Normale 4" xfId="4" xr:uid="{D29BE132-73D2-45B9-93A7-40115EE5F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30CD-8FBF-4994-AECE-17CA93C82734}">
  <sheetPr>
    <pageSetUpPr fitToPage="1"/>
  </sheetPr>
  <dimension ref="A1:O44"/>
  <sheetViews>
    <sheetView view="pageBreakPreview" zoomScaleSheetLayoutView="100" workbookViewId="0">
      <selection activeCell="A21" sqref="A21:XFD22"/>
    </sheetView>
  </sheetViews>
  <sheetFormatPr defaultColWidth="12.28515625" defaultRowHeight="12.75" x14ac:dyDescent="0.25"/>
  <cols>
    <col min="1" max="1" width="25.28515625" style="2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8" width="12.28515625" style="2" customWidth="1"/>
    <col min="9" max="9" width="14.42578125" style="2" customWidth="1"/>
    <col min="10" max="10" width="13.28515625" style="2" customWidth="1"/>
    <col min="11" max="11" width="13.85546875" style="2" customWidth="1"/>
    <col min="12" max="12" width="9.42578125" style="2" customWidth="1"/>
    <col min="13" max="13" width="11.28515625" style="2" customWidth="1"/>
    <col min="14" max="14" width="16.42578125" style="2" bestFit="1" customWidth="1"/>
    <col min="15" max="16384" width="12.28515625" style="2"/>
  </cols>
  <sheetData>
    <row r="1" spans="1:15" x14ac:dyDescent="0.2">
      <c r="A1" s="35" t="s">
        <v>28</v>
      </c>
      <c r="B1" s="35"/>
      <c r="C1" s="35"/>
      <c r="D1" s="35"/>
      <c r="E1" s="35"/>
      <c r="F1" s="35"/>
      <c r="I1" s="3"/>
      <c r="J1" s="3"/>
      <c r="K1" s="4"/>
    </row>
    <row r="2" spans="1:15" ht="15" x14ac:dyDescent="0.2">
      <c r="A2" s="5"/>
      <c r="B2" s="1" t="s">
        <v>0</v>
      </c>
      <c r="C2" s="1"/>
      <c r="D2" s="1"/>
      <c r="E2" s="1"/>
      <c r="F2" s="1"/>
      <c r="G2" s="4"/>
      <c r="H2" s="4"/>
      <c r="I2" s="30">
        <v>1</v>
      </c>
      <c r="J2" s="6"/>
      <c r="K2" s="4"/>
      <c r="L2" s="4"/>
      <c r="M2" s="4"/>
    </row>
    <row r="3" spans="1:15" ht="15" x14ac:dyDescent="0.2">
      <c r="B3" s="22"/>
      <c r="C3" s="22"/>
      <c r="D3" s="22"/>
      <c r="E3" s="22"/>
      <c r="F3" s="22"/>
      <c r="G3" s="22"/>
      <c r="H3" s="23"/>
      <c r="I3" s="19"/>
      <c r="J3" s="19"/>
      <c r="K3" s="24"/>
      <c r="L3" s="24"/>
      <c r="M3" s="24"/>
      <c r="N3" s="20"/>
      <c r="O3" s="21"/>
    </row>
    <row r="4" spans="1:15" ht="29.25" customHeight="1" x14ac:dyDescent="0.25">
      <c r="B4" s="4"/>
      <c r="C4" s="4"/>
      <c r="D4" s="4"/>
      <c r="F4" s="7"/>
      <c r="G4" s="4"/>
      <c r="I4" s="34" t="s">
        <v>38</v>
      </c>
      <c r="J4" s="19"/>
      <c r="K4" s="3"/>
      <c r="L4" s="4"/>
      <c r="M4" s="4"/>
      <c r="N4" s="4"/>
    </row>
    <row r="5" spans="1:15" ht="38.25" x14ac:dyDescent="0.25">
      <c r="A5" s="8" t="s">
        <v>1</v>
      </c>
      <c r="B5" s="9" t="s">
        <v>2</v>
      </c>
      <c r="C5" s="9" t="s">
        <v>3</v>
      </c>
      <c r="D5" s="8" t="s">
        <v>4</v>
      </c>
      <c r="E5" s="9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19"/>
      <c r="K5" s="10" t="s">
        <v>10</v>
      </c>
      <c r="L5" s="11" t="s">
        <v>3</v>
      </c>
      <c r="M5" s="10" t="s">
        <v>11</v>
      </c>
      <c r="N5" s="12"/>
    </row>
    <row r="6" spans="1:15" ht="9.75" customHeight="1" x14ac:dyDescent="0.25">
      <c r="B6" s="13"/>
      <c r="C6" s="13"/>
      <c r="D6" s="13"/>
      <c r="E6" s="13"/>
      <c r="F6" s="13"/>
      <c r="G6" s="13"/>
      <c r="H6" s="13"/>
      <c r="I6" s="13"/>
      <c r="J6" s="19"/>
      <c r="O6" s="14"/>
    </row>
    <row r="7" spans="1:15" ht="15" x14ac:dyDescent="0.2">
      <c r="A7" s="11" t="s">
        <v>12</v>
      </c>
      <c r="B7" s="16">
        <f>ROUND(K7/12*$I$2,2)</f>
        <v>1617.84</v>
      </c>
      <c r="C7" s="16">
        <f>ROUND((L7)/12*$I$2,2)</f>
        <v>0</v>
      </c>
      <c r="D7" s="16">
        <f>ROUND((B7+C7)/12,2)</f>
        <v>134.82</v>
      </c>
      <c r="E7" s="16">
        <f>ROUND(M7/12*$I$2,2)</f>
        <v>137.19999999999999</v>
      </c>
      <c r="F7" s="16">
        <f>SUM(B7:E7)</f>
        <v>1889.86</v>
      </c>
      <c r="G7" s="16">
        <f>ROUND(F7-F7*2%,2)</f>
        <v>1852.06</v>
      </c>
      <c r="H7" s="17">
        <f>ROUND((F7)*40.38%+(F7)*1.61%,2)</f>
        <v>793.55</v>
      </c>
      <c r="I7" s="18">
        <f>G7+H7</f>
        <v>2645.6099999999997</v>
      </c>
      <c r="J7" s="19"/>
      <c r="K7" s="32">
        <v>19414.099999999999</v>
      </c>
      <c r="L7" s="32"/>
      <c r="M7" s="33">
        <v>1646.36</v>
      </c>
      <c r="N7" s="20"/>
      <c r="O7" s="21"/>
    </row>
    <row r="8" spans="1:15" ht="15" x14ac:dyDescent="0.2">
      <c r="A8" s="11" t="s">
        <v>13</v>
      </c>
      <c r="B8" s="16">
        <f t="shared" ref="B8:B11" si="0">ROUND(K8/12*$I$2,2)</f>
        <v>1775.57</v>
      </c>
      <c r="C8" s="16">
        <f t="shared" ref="C8:C11" si="1">ROUND((L8)/12*$I$2,2)</f>
        <v>0</v>
      </c>
      <c r="D8" s="16">
        <f t="shared" ref="D8:D11" si="2">ROUND((B8+C8)/12,2)</f>
        <v>147.96</v>
      </c>
      <c r="E8" s="16">
        <f t="shared" ref="E8:E11" si="3">ROUND(M8/12*$I$2,2)</f>
        <v>137.19999999999999</v>
      </c>
      <c r="F8" s="16">
        <f>SUM(B8:E8)</f>
        <v>2060.73</v>
      </c>
      <c r="G8" s="16">
        <f t="shared" ref="G8:G10" si="4">ROUND(F8-F8*2%,2)</f>
        <v>2019.52</v>
      </c>
      <c r="H8" s="17">
        <f t="shared" ref="H8:H10" si="5">ROUND((F8)*40.38%+(F8)*1.61%,2)</f>
        <v>865.3</v>
      </c>
      <c r="I8" s="18">
        <f t="shared" ref="I8" si="6">G8+H8</f>
        <v>2884.8199999999997</v>
      </c>
      <c r="J8" s="19"/>
      <c r="K8" s="32">
        <v>21306.79</v>
      </c>
      <c r="L8" s="32"/>
      <c r="M8" s="33">
        <v>1646.36</v>
      </c>
      <c r="N8" s="20"/>
      <c r="O8" s="21"/>
    </row>
    <row r="9" spans="1:15" ht="15" x14ac:dyDescent="0.2">
      <c r="A9" s="11" t="s">
        <v>14</v>
      </c>
      <c r="B9" s="16">
        <f t="shared" si="0"/>
        <v>1831</v>
      </c>
      <c r="C9" s="16">
        <f t="shared" si="1"/>
        <v>0</v>
      </c>
      <c r="D9" s="16">
        <f t="shared" si="2"/>
        <v>152.58000000000001</v>
      </c>
      <c r="E9" s="16">
        <f t="shared" si="3"/>
        <v>182.26</v>
      </c>
      <c r="F9" s="16">
        <f>SUM(B9:E9)</f>
        <v>2165.84</v>
      </c>
      <c r="G9" s="16">
        <f t="shared" si="4"/>
        <v>2122.52</v>
      </c>
      <c r="H9" s="17">
        <f t="shared" si="5"/>
        <v>909.44</v>
      </c>
      <c r="I9" s="18">
        <f>G9+H9</f>
        <v>3031.96</v>
      </c>
      <c r="J9" s="19"/>
      <c r="K9" s="32">
        <v>21972.04</v>
      </c>
      <c r="L9" s="32"/>
      <c r="M9" s="33">
        <v>2187.17</v>
      </c>
      <c r="N9" s="20"/>
      <c r="O9" s="21"/>
    </row>
    <row r="10" spans="1:15" ht="15" x14ac:dyDescent="0.2">
      <c r="A10" s="11" t="s">
        <v>15</v>
      </c>
      <c r="B10" s="16">
        <f t="shared" si="0"/>
        <v>2125.48</v>
      </c>
      <c r="C10" s="16">
        <f t="shared" si="1"/>
        <v>0</v>
      </c>
      <c r="D10" s="16">
        <f t="shared" si="2"/>
        <v>177.12</v>
      </c>
      <c r="E10" s="16">
        <f t="shared" si="3"/>
        <v>252.21</v>
      </c>
      <c r="F10" s="16">
        <f>SUM(B10:E10)</f>
        <v>2554.81</v>
      </c>
      <c r="G10" s="16">
        <f t="shared" si="4"/>
        <v>2503.71</v>
      </c>
      <c r="H10" s="17">
        <f t="shared" si="5"/>
        <v>1072.76</v>
      </c>
      <c r="I10" s="18">
        <f>G10+H10</f>
        <v>3576.4700000000003</v>
      </c>
      <c r="J10" s="19"/>
      <c r="K10" s="32">
        <v>25505.79</v>
      </c>
      <c r="L10" s="32"/>
      <c r="M10" s="33">
        <v>3026.46</v>
      </c>
      <c r="N10" s="20"/>
      <c r="O10" s="21"/>
    </row>
    <row r="11" spans="1:15" ht="15" x14ac:dyDescent="0.2">
      <c r="A11" s="11" t="s">
        <v>16</v>
      </c>
      <c r="B11" s="16">
        <f t="shared" si="0"/>
        <v>2391.14</v>
      </c>
      <c r="C11" s="16">
        <f t="shared" si="1"/>
        <v>0</v>
      </c>
      <c r="D11" s="16">
        <f t="shared" si="2"/>
        <v>199.26</v>
      </c>
      <c r="E11" s="16">
        <f t="shared" si="3"/>
        <v>298.10000000000002</v>
      </c>
      <c r="F11" s="16">
        <f>SUM(B11:E11)</f>
        <v>2888.4999999999995</v>
      </c>
      <c r="G11" s="16">
        <f>ROUND(F11-F11*2%,2)</f>
        <v>2830.73</v>
      </c>
      <c r="H11" s="17">
        <f>ROUND((F11)*40.38%+(F11)*1.61%+((B11+C11)-(556.86*$I$2))*4.36%,2)</f>
        <v>1292.8599999999999</v>
      </c>
      <c r="I11" s="18">
        <f>G11+H11</f>
        <v>4123.59</v>
      </c>
      <c r="J11" s="19"/>
      <c r="K11" s="32">
        <v>28693.65</v>
      </c>
      <c r="L11" s="32"/>
      <c r="M11" s="33">
        <v>3577.2</v>
      </c>
      <c r="N11" s="20"/>
      <c r="O11" s="21"/>
    </row>
    <row r="12" spans="1:15" ht="15" x14ac:dyDescent="0.2">
      <c r="B12" s="22"/>
      <c r="C12" s="22"/>
      <c r="D12" s="22"/>
      <c r="E12" s="22"/>
      <c r="F12" s="22"/>
      <c r="G12" s="22"/>
      <c r="H12" s="23"/>
      <c r="I12" s="19"/>
      <c r="J12" s="19"/>
      <c r="K12" s="24"/>
      <c r="L12" s="24"/>
      <c r="M12" s="24"/>
      <c r="N12" s="20"/>
      <c r="O12" s="21"/>
    </row>
    <row r="13" spans="1:15" ht="29.25" customHeight="1" x14ac:dyDescent="0.25">
      <c r="B13" s="4"/>
      <c r="C13" s="4"/>
      <c r="D13" s="4"/>
      <c r="F13" s="7"/>
      <c r="G13" s="4"/>
      <c r="I13" s="34" t="s">
        <v>39</v>
      </c>
      <c r="J13" s="19"/>
      <c r="K13" s="3"/>
      <c r="L13" s="4"/>
      <c r="M13" s="4"/>
      <c r="N13" s="4"/>
    </row>
    <row r="14" spans="1:15" ht="38.25" x14ac:dyDescent="0.25">
      <c r="A14" s="8" t="s">
        <v>1</v>
      </c>
      <c r="B14" s="9" t="s">
        <v>2</v>
      </c>
      <c r="C14" s="9" t="s">
        <v>35</v>
      </c>
      <c r="D14" s="8" t="s">
        <v>4</v>
      </c>
      <c r="E14" s="9" t="s">
        <v>5</v>
      </c>
      <c r="F14" s="8" t="s">
        <v>6</v>
      </c>
      <c r="G14" s="9" t="s">
        <v>7</v>
      </c>
      <c r="H14" s="9" t="s">
        <v>8</v>
      </c>
      <c r="I14" s="9" t="s">
        <v>9</v>
      </c>
      <c r="J14" s="19"/>
      <c r="K14" s="10" t="s">
        <v>10</v>
      </c>
      <c r="L14" s="11" t="s">
        <v>3</v>
      </c>
      <c r="M14" s="10" t="s">
        <v>11</v>
      </c>
      <c r="N14" s="12"/>
    </row>
    <row r="15" spans="1:15" ht="9.75" customHeight="1" x14ac:dyDescent="0.25">
      <c r="B15" s="13"/>
      <c r="C15" s="13"/>
      <c r="D15" s="13"/>
      <c r="E15" s="13"/>
      <c r="F15" s="13"/>
      <c r="G15" s="13"/>
      <c r="H15" s="13"/>
      <c r="I15" s="13"/>
      <c r="J15" s="19"/>
      <c r="O15" s="14"/>
    </row>
    <row r="16" spans="1:15" ht="15" x14ac:dyDescent="0.2">
      <c r="A16" s="15" t="s">
        <v>17</v>
      </c>
      <c r="B16" s="16">
        <f t="shared" ref="B16:B19" si="7">ROUND(K16/12*$I$2,2)</f>
        <v>1775.57</v>
      </c>
      <c r="C16" s="16">
        <f>ROUND((L16)/12*$I$2,2)</f>
        <v>0</v>
      </c>
      <c r="D16" s="16">
        <f>ROUND((B16+C16)/12,2)</f>
        <v>147.96</v>
      </c>
      <c r="E16" s="16">
        <f>ROUND(M16/12*$I$2,2)</f>
        <v>137.19999999999999</v>
      </c>
      <c r="F16" s="16">
        <f>SUM(B16:E16)</f>
        <v>2060.73</v>
      </c>
      <c r="G16" s="16">
        <f t="shared" ref="G16:G18" si="8">ROUND(F16-F16*2%,2)</f>
        <v>2019.52</v>
      </c>
      <c r="H16" s="17">
        <f t="shared" ref="H16:H18" si="9">ROUND((F16)*40.38%+(F16)*1.61%,2)</f>
        <v>865.3</v>
      </c>
      <c r="I16" s="18">
        <f t="shared" ref="I16" si="10">G16+H16</f>
        <v>2884.8199999999997</v>
      </c>
      <c r="J16" s="19"/>
      <c r="K16" s="32">
        <v>21306.79</v>
      </c>
      <c r="L16" s="33"/>
      <c r="M16" s="33">
        <v>1646.36</v>
      </c>
      <c r="N16" s="20"/>
      <c r="O16" s="21"/>
    </row>
    <row r="17" spans="1:15" ht="15" x14ac:dyDescent="0.2">
      <c r="A17" s="15" t="s">
        <v>18</v>
      </c>
      <c r="B17" s="16">
        <f t="shared" si="7"/>
        <v>1863.17</v>
      </c>
      <c r="C17" s="16">
        <f t="shared" ref="C17:C19" si="11">ROUND((L17)/12*$I$2,2)</f>
        <v>0</v>
      </c>
      <c r="D17" s="16">
        <f t="shared" ref="D17:D19" si="12">ROUND((B17+C17)/12,2)</f>
        <v>155.26</v>
      </c>
      <c r="E17" s="16">
        <f>ROUND(M17/12*$I$2,2)</f>
        <v>182.26</v>
      </c>
      <c r="F17" s="16">
        <f>SUM(B17:E17)</f>
        <v>2200.69</v>
      </c>
      <c r="G17" s="16">
        <f t="shared" si="8"/>
        <v>2156.6799999999998</v>
      </c>
      <c r="H17" s="17">
        <f t="shared" si="9"/>
        <v>924.07</v>
      </c>
      <c r="I17" s="18">
        <f>G17+H17</f>
        <v>3080.75</v>
      </c>
      <c r="J17" s="19"/>
      <c r="K17" s="32">
        <v>22358.04</v>
      </c>
      <c r="L17" s="33"/>
      <c r="M17" s="33">
        <v>2187.17</v>
      </c>
      <c r="N17" s="20"/>
      <c r="O17" s="21"/>
    </row>
    <row r="18" spans="1:15" ht="15" x14ac:dyDescent="0.2">
      <c r="A18" s="15" t="s">
        <v>19</v>
      </c>
      <c r="B18" s="16">
        <f t="shared" si="7"/>
        <v>2125.48</v>
      </c>
      <c r="C18" s="16">
        <f t="shared" si="11"/>
        <v>0</v>
      </c>
      <c r="D18" s="16">
        <f t="shared" si="12"/>
        <v>177.12</v>
      </c>
      <c r="E18" s="16">
        <f>ROUND(M18/12*$I$2,2)</f>
        <v>252.21</v>
      </c>
      <c r="F18" s="16">
        <f>SUM(B18:E18)</f>
        <v>2554.81</v>
      </c>
      <c r="G18" s="16">
        <f t="shared" si="8"/>
        <v>2503.71</v>
      </c>
      <c r="H18" s="17">
        <f t="shared" si="9"/>
        <v>1072.76</v>
      </c>
      <c r="I18" s="18">
        <f>G18+H18</f>
        <v>3576.4700000000003</v>
      </c>
      <c r="J18" s="19"/>
      <c r="K18" s="32">
        <v>25505.79</v>
      </c>
      <c r="L18" s="33"/>
      <c r="M18" s="33">
        <v>3026.46</v>
      </c>
      <c r="N18" s="20"/>
      <c r="O18" s="21"/>
    </row>
    <row r="19" spans="1:15" ht="15" x14ac:dyDescent="0.2">
      <c r="A19" s="15" t="s">
        <v>20</v>
      </c>
      <c r="B19" s="16">
        <f t="shared" si="7"/>
        <v>2391.14</v>
      </c>
      <c r="C19" s="16">
        <f t="shared" si="11"/>
        <v>0</v>
      </c>
      <c r="D19" s="16">
        <f t="shared" si="12"/>
        <v>199.26</v>
      </c>
      <c r="E19" s="16">
        <f>ROUND(M19/12*$I$2,2)</f>
        <v>298.10000000000002</v>
      </c>
      <c r="F19" s="16">
        <f>SUM(B19:E19)</f>
        <v>2888.4999999999995</v>
      </c>
      <c r="G19" s="16">
        <f>ROUND(F19-F19*2%,2)</f>
        <v>2830.73</v>
      </c>
      <c r="H19" s="17">
        <f>ROUND((F19)*40.38%+(F19)*1.61%+((B19+C19)-(556.86*$I$2))*4.36%,2)</f>
        <v>1292.8599999999999</v>
      </c>
      <c r="I19" s="18">
        <f>G19+H19</f>
        <v>4123.59</v>
      </c>
      <c r="J19" s="19"/>
      <c r="K19" s="32">
        <v>28693.65</v>
      </c>
      <c r="L19" s="33"/>
      <c r="M19" s="33">
        <v>3577.2</v>
      </c>
      <c r="N19" s="20"/>
      <c r="O19" s="21"/>
    </row>
    <row r="20" spans="1:15" ht="15" x14ac:dyDescent="0.2">
      <c r="B20" s="22"/>
      <c r="C20" s="22"/>
      <c r="D20" s="22"/>
      <c r="E20" s="22"/>
      <c r="F20" s="22"/>
      <c r="G20" s="22"/>
      <c r="H20" s="23"/>
      <c r="I20" s="19"/>
      <c r="J20" s="19"/>
      <c r="K20" s="24"/>
      <c r="L20" s="24"/>
      <c r="M20" s="24"/>
      <c r="N20" s="20"/>
      <c r="O20" s="21"/>
    </row>
    <row r="21" spans="1:15" ht="29.25" customHeight="1" x14ac:dyDescent="0.25">
      <c r="B21" s="4"/>
      <c r="C21" s="4"/>
      <c r="D21" s="4"/>
      <c r="F21" s="7"/>
      <c r="G21" s="4"/>
      <c r="I21" s="34" t="s">
        <v>37</v>
      </c>
      <c r="J21" s="19"/>
      <c r="K21" s="3"/>
      <c r="L21" s="4"/>
      <c r="M21" s="4"/>
      <c r="N21" s="4"/>
    </row>
    <row r="22" spans="1:15" ht="38.25" x14ac:dyDescent="0.25">
      <c r="A22" s="8" t="s">
        <v>1</v>
      </c>
      <c r="B22" s="9" t="s">
        <v>2</v>
      </c>
      <c r="C22" s="9" t="s">
        <v>35</v>
      </c>
      <c r="D22" s="8" t="s">
        <v>4</v>
      </c>
      <c r="E22" s="9" t="s">
        <v>5</v>
      </c>
      <c r="F22" s="8" t="s">
        <v>6</v>
      </c>
      <c r="G22" s="9" t="s">
        <v>7</v>
      </c>
      <c r="H22" s="9" t="s">
        <v>8</v>
      </c>
      <c r="I22" s="9" t="s">
        <v>9</v>
      </c>
      <c r="J22" s="19"/>
      <c r="K22" s="10" t="s">
        <v>10</v>
      </c>
      <c r="L22" s="11" t="s">
        <v>3</v>
      </c>
      <c r="M22" s="10" t="s">
        <v>11</v>
      </c>
      <c r="N22" s="12"/>
    </row>
    <row r="23" spans="1:15" ht="9.75" customHeight="1" x14ac:dyDescent="0.25">
      <c r="B23" s="13"/>
      <c r="C23" s="13"/>
      <c r="D23" s="13"/>
      <c r="E23" s="13"/>
      <c r="F23" s="13"/>
      <c r="G23" s="13"/>
      <c r="H23" s="13"/>
      <c r="I23" s="13"/>
      <c r="J23" s="19"/>
      <c r="O23" s="14"/>
    </row>
    <row r="24" spans="1:15" ht="15" x14ac:dyDescent="0.2">
      <c r="A24" s="15" t="s">
        <v>17</v>
      </c>
      <c r="B24" s="16">
        <f t="shared" ref="B24:B27" si="13">ROUND(K24/12*$I$2,2)</f>
        <v>1775.57</v>
      </c>
      <c r="C24" s="16">
        <f>ROUND((L24)/12*$I$2,2)</f>
        <v>10.65</v>
      </c>
      <c r="D24" s="16">
        <f>ROUND((B24+C24)/12,2)</f>
        <v>148.85</v>
      </c>
      <c r="E24" s="16">
        <f>ROUND(M24/12*$I$2,2)</f>
        <v>137.19999999999999</v>
      </c>
      <c r="F24" s="16">
        <f>SUM(B24:E24)</f>
        <v>2072.27</v>
      </c>
      <c r="G24" s="16">
        <f t="shared" ref="G24:G26" si="14">ROUND(F24-F24*2%,2)</f>
        <v>2030.82</v>
      </c>
      <c r="H24" s="17">
        <f t="shared" ref="H24:H26" si="15">ROUND((F24)*40.38%+(F24)*1.61%,2)</f>
        <v>870.15</v>
      </c>
      <c r="I24" s="18">
        <f t="shared" ref="I24" si="16">G24+H24</f>
        <v>2900.97</v>
      </c>
      <c r="J24" s="19"/>
      <c r="K24" s="32">
        <v>21306.79</v>
      </c>
      <c r="L24" s="33">
        <f>10.65*12</f>
        <v>127.80000000000001</v>
      </c>
      <c r="M24" s="33">
        <v>1646.36</v>
      </c>
      <c r="N24" s="20"/>
      <c r="O24" s="21"/>
    </row>
    <row r="25" spans="1:15" ht="15" x14ac:dyDescent="0.2">
      <c r="A25" s="15" t="s">
        <v>18</v>
      </c>
      <c r="B25" s="16">
        <f t="shared" si="13"/>
        <v>1863.17</v>
      </c>
      <c r="C25" s="16">
        <f t="shared" ref="C25:C27" si="17">ROUND((L25)/12*$I$2,2)</f>
        <v>11.18</v>
      </c>
      <c r="D25" s="16">
        <f t="shared" ref="D25:D27" si="18">ROUND((B25+C25)/12,2)</f>
        <v>156.19999999999999</v>
      </c>
      <c r="E25" s="16">
        <f>ROUND(M25/12*$I$2,2)</f>
        <v>182.26</v>
      </c>
      <c r="F25" s="16">
        <f>SUM(B25:E25)</f>
        <v>2212.8100000000004</v>
      </c>
      <c r="G25" s="16">
        <f t="shared" si="14"/>
        <v>2168.5500000000002</v>
      </c>
      <c r="H25" s="17">
        <f t="shared" si="15"/>
        <v>929.16</v>
      </c>
      <c r="I25" s="18">
        <f>G25+H25</f>
        <v>3097.71</v>
      </c>
      <c r="J25" s="19"/>
      <c r="K25" s="32">
        <v>22358.04</v>
      </c>
      <c r="L25" s="33">
        <f>11.18*12</f>
        <v>134.16</v>
      </c>
      <c r="M25" s="33">
        <v>2187.17</v>
      </c>
      <c r="N25" s="20"/>
      <c r="O25" s="21"/>
    </row>
    <row r="26" spans="1:15" ht="15" x14ac:dyDescent="0.2">
      <c r="A26" s="15" t="s">
        <v>19</v>
      </c>
      <c r="B26" s="16">
        <f t="shared" si="13"/>
        <v>2125.48</v>
      </c>
      <c r="C26" s="16">
        <f t="shared" si="17"/>
        <v>12.75</v>
      </c>
      <c r="D26" s="16">
        <f t="shared" si="18"/>
        <v>178.19</v>
      </c>
      <c r="E26" s="16">
        <f>ROUND(M26/12*$I$2,2)</f>
        <v>252.21</v>
      </c>
      <c r="F26" s="16">
        <f>SUM(B26:E26)</f>
        <v>2568.63</v>
      </c>
      <c r="G26" s="16">
        <f t="shared" si="14"/>
        <v>2517.2600000000002</v>
      </c>
      <c r="H26" s="17">
        <f t="shared" si="15"/>
        <v>1078.57</v>
      </c>
      <c r="I26" s="18">
        <f>G26+H26</f>
        <v>3595.83</v>
      </c>
      <c r="J26" s="19"/>
      <c r="K26" s="32">
        <v>25505.79</v>
      </c>
      <c r="L26" s="33">
        <f>12.75*12</f>
        <v>153</v>
      </c>
      <c r="M26" s="33">
        <v>3026.46</v>
      </c>
      <c r="N26" s="20"/>
      <c r="O26" s="21"/>
    </row>
    <row r="27" spans="1:15" ht="15" x14ac:dyDescent="0.2">
      <c r="A27" s="15" t="s">
        <v>20</v>
      </c>
      <c r="B27" s="16">
        <f t="shared" si="13"/>
        <v>2391.14</v>
      </c>
      <c r="C27" s="16">
        <f t="shared" si="17"/>
        <v>14.35</v>
      </c>
      <c r="D27" s="16">
        <f t="shared" si="18"/>
        <v>200.46</v>
      </c>
      <c r="E27" s="16">
        <f>ROUND(M27/12*$I$2,2)</f>
        <v>298.10000000000002</v>
      </c>
      <c r="F27" s="16">
        <f>SUM(B27:E27)</f>
        <v>2904.0499999999997</v>
      </c>
      <c r="G27" s="16">
        <f>ROUND(F27-F27*2%,2)</f>
        <v>2845.97</v>
      </c>
      <c r="H27" s="17">
        <f>ROUND((F27)*40.38%+(F27)*1.61%+((B27+C27)-(556.86*$I$2))*4.36%,2)</f>
        <v>1300.01</v>
      </c>
      <c r="I27" s="18">
        <f>G27+H27</f>
        <v>4145.9799999999996</v>
      </c>
      <c r="J27" s="19"/>
      <c r="K27" s="32">
        <v>28693.65</v>
      </c>
      <c r="L27" s="33">
        <f>14.35*12</f>
        <v>172.2</v>
      </c>
      <c r="M27" s="33">
        <v>3577.2</v>
      </c>
      <c r="N27" s="20"/>
      <c r="O27" s="21"/>
    </row>
    <row r="29" spans="1:15" ht="29.25" customHeight="1" x14ac:dyDescent="0.25">
      <c r="B29" s="4"/>
      <c r="C29" s="4"/>
      <c r="D29" s="4"/>
      <c r="F29" s="7"/>
      <c r="G29" s="4"/>
      <c r="I29" s="34" t="s">
        <v>36</v>
      </c>
      <c r="J29" s="19"/>
      <c r="K29" s="3"/>
      <c r="L29" s="4"/>
      <c r="M29" s="4"/>
      <c r="N29" s="4"/>
    </row>
    <row r="30" spans="1:15" ht="38.25" x14ac:dyDescent="0.25">
      <c r="A30" s="8" t="s">
        <v>1</v>
      </c>
      <c r="B30" s="9" t="s">
        <v>2</v>
      </c>
      <c r="C30" s="9" t="s">
        <v>35</v>
      </c>
      <c r="D30" s="8" t="s">
        <v>4</v>
      </c>
      <c r="E30" s="9" t="s">
        <v>5</v>
      </c>
      <c r="F30" s="8" t="s">
        <v>6</v>
      </c>
      <c r="G30" s="9" t="s">
        <v>7</v>
      </c>
      <c r="H30" s="9" t="s">
        <v>8</v>
      </c>
      <c r="I30" s="9" t="s">
        <v>9</v>
      </c>
      <c r="J30" s="19"/>
      <c r="K30" s="10" t="s">
        <v>10</v>
      </c>
      <c r="L30" s="11" t="s">
        <v>3</v>
      </c>
      <c r="M30" s="10" t="s">
        <v>11</v>
      </c>
      <c r="N30" s="12"/>
    </row>
    <row r="31" spans="1:15" ht="9.75" customHeight="1" x14ac:dyDescent="0.25">
      <c r="B31" s="13"/>
      <c r="C31" s="13"/>
      <c r="D31" s="13"/>
      <c r="E31" s="13"/>
      <c r="F31" s="13"/>
      <c r="G31" s="13"/>
      <c r="H31" s="13"/>
      <c r="I31" s="13"/>
      <c r="J31" s="19"/>
      <c r="O31" s="14"/>
    </row>
    <row r="32" spans="1:15" ht="15" x14ac:dyDescent="0.2">
      <c r="A32" s="15" t="s">
        <v>17</v>
      </c>
      <c r="B32" s="16">
        <f t="shared" ref="B32:B35" si="19">ROUND(K32/12*$I$2,2)</f>
        <v>1775.57</v>
      </c>
      <c r="C32" s="16">
        <f>ROUND((L32)/12*$I$2,2)</f>
        <v>17.760000000000002</v>
      </c>
      <c r="D32" s="16">
        <f>ROUND((B32+C32)/12,2)</f>
        <v>149.44</v>
      </c>
      <c r="E32" s="16">
        <f>ROUND(M32/12*$I$2,2)</f>
        <v>137.19999999999999</v>
      </c>
      <c r="F32" s="16">
        <f>SUM(B32:E32)</f>
        <v>2079.9699999999998</v>
      </c>
      <c r="G32" s="16">
        <f t="shared" ref="G32:G34" si="20">ROUND(F32-F32*2%,2)</f>
        <v>2038.37</v>
      </c>
      <c r="H32" s="17">
        <f t="shared" ref="H32:H34" si="21">ROUND((F32)*40.38%+(F32)*1.61%,2)</f>
        <v>873.38</v>
      </c>
      <c r="I32" s="18">
        <f t="shared" ref="I32" si="22">G32+H32</f>
        <v>2911.75</v>
      </c>
      <c r="J32" s="19"/>
      <c r="K32" s="32">
        <v>21306.79</v>
      </c>
      <c r="L32" s="33">
        <f>17.76*12</f>
        <v>213.12</v>
      </c>
      <c r="M32" s="33">
        <v>1646.36</v>
      </c>
      <c r="N32" s="20"/>
      <c r="O32" s="21"/>
    </row>
    <row r="33" spans="1:15" ht="15" x14ac:dyDescent="0.2">
      <c r="A33" s="15" t="s">
        <v>18</v>
      </c>
      <c r="B33" s="16">
        <f t="shared" si="19"/>
        <v>1863.17</v>
      </c>
      <c r="C33" s="16">
        <f t="shared" ref="C33:C35" si="23">ROUND((L33)/12*$I$2,2)</f>
        <v>18.63</v>
      </c>
      <c r="D33" s="16">
        <f t="shared" ref="D33:D35" si="24">ROUND((B33+C33)/12,2)</f>
        <v>156.82</v>
      </c>
      <c r="E33" s="16">
        <f>ROUND(M33/12*$I$2,2)</f>
        <v>182.26</v>
      </c>
      <c r="F33" s="16">
        <f>SUM(B33:E33)</f>
        <v>2220.88</v>
      </c>
      <c r="G33" s="16">
        <f t="shared" si="20"/>
        <v>2176.46</v>
      </c>
      <c r="H33" s="17">
        <f t="shared" si="21"/>
        <v>932.55</v>
      </c>
      <c r="I33" s="18">
        <f>G33+H33</f>
        <v>3109.01</v>
      </c>
      <c r="J33" s="19"/>
      <c r="K33" s="32">
        <v>22358.04</v>
      </c>
      <c r="L33" s="33">
        <f>18.63*12</f>
        <v>223.56</v>
      </c>
      <c r="M33" s="33">
        <v>2187.17</v>
      </c>
      <c r="N33" s="20"/>
      <c r="O33" s="21"/>
    </row>
    <row r="34" spans="1:15" ht="15" x14ac:dyDescent="0.2">
      <c r="A34" s="15" t="s">
        <v>19</v>
      </c>
      <c r="B34" s="16">
        <f t="shared" si="19"/>
        <v>2125.48</v>
      </c>
      <c r="C34" s="16">
        <f t="shared" si="23"/>
        <v>21.25</v>
      </c>
      <c r="D34" s="16">
        <f t="shared" si="24"/>
        <v>178.89</v>
      </c>
      <c r="E34" s="16">
        <f>ROUND(M34/12*$I$2,2)</f>
        <v>252.21</v>
      </c>
      <c r="F34" s="16">
        <f>SUM(B34:E34)</f>
        <v>2577.83</v>
      </c>
      <c r="G34" s="16">
        <f t="shared" si="20"/>
        <v>2526.27</v>
      </c>
      <c r="H34" s="17">
        <f t="shared" si="21"/>
        <v>1082.43</v>
      </c>
      <c r="I34" s="18">
        <f>G34+H34</f>
        <v>3608.7</v>
      </c>
      <c r="J34" s="19"/>
      <c r="K34" s="32">
        <v>25505.79</v>
      </c>
      <c r="L34" s="33">
        <f>21.25*12</f>
        <v>255</v>
      </c>
      <c r="M34" s="33">
        <v>3026.46</v>
      </c>
      <c r="N34" s="20"/>
      <c r="O34" s="21"/>
    </row>
    <row r="35" spans="1:15" ht="15" x14ac:dyDescent="0.2">
      <c r="A35" s="15" t="s">
        <v>20</v>
      </c>
      <c r="B35" s="16">
        <f t="shared" si="19"/>
        <v>2391.14</v>
      </c>
      <c r="C35" s="16">
        <f t="shared" si="23"/>
        <v>23.91</v>
      </c>
      <c r="D35" s="16">
        <f t="shared" si="24"/>
        <v>201.25</v>
      </c>
      <c r="E35" s="16">
        <f>ROUND(M35/12*$I$2,2)</f>
        <v>298.10000000000002</v>
      </c>
      <c r="F35" s="16">
        <f>SUM(B35:E35)</f>
        <v>2914.3999999999996</v>
      </c>
      <c r="G35" s="16">
        <f>ROUND(F35-F35*2%,2)</f>
        <v>2856.11</v>
      </c>
      <c r="H35" s="17">
        <f>ROUND((F35)*40.38%+(F35)*1.61%+((B35+C35)-(556.86*$I$2))*4.36%,2)</f>
        <v>1304.77</v>
      </c>
      <c r="I35" s="18">
        <f>G35+H35</f>
        <v>4160.88</v>
      </c>
      <c r="J35" s="19"/>
      <c r="K35" s="32">
        <v>28693.65</v>
      </c>
      <c r="L35" s="33">
        <f>23.91*12</f>
        <v>286.92</v>
      </c>
      <c r="M35" s="33">
        <v>3577.2</v>
      </c>
      <c r="N35" s="20"/>
      <c r="O35" s="21"/>
    </row>
    <row r="39" spans="1:15" ht="15" x14ac:dyDescent="0.2">
      <c r="A39" s="29" t="s">
        <v>21</v>
      </c>
      <c r="B39" s="31" t="s">
        <v>34</v>
      </c>
      <c r="C39" s="25"/>
      <c r="D39" s="26"/>
      <c r="E39" s="25"/>
      <c r="L39" s="27"/>
      <c r="M39" s="27"/>
      <c r="N39" s="28"/>
      <c r="O39" s="21"/>
    </row>
    <row r="40" spans="1:15" x14ac:dyDescent="0.2">
      <c r="A40" s="25"/>
      <c r="B40" s="25"/>
      <c r="C40" s="25"/>
      <c r="D40" s="29" t="s">
        <v>29</v>
      </c>
      <c r="E40" s="25" t="s">
        <v>22</v>
      </c>
      <c r="J40" s="2" t="s">
        <v>27</v>
      </c>
    </row>
    <row r="41" spans="1:15" x14ac:dyDescent="0.2">
      <c r="A41" s="25"/>
      <c r="B41" s="25"/>
      <c r="C41" s="25"/>
      <c r="D41" s="29" t="s">
        <v>30</v>
      </c>
      <c r="E41" s="25" t="s">
        <v>23</v>
      </c>
    </row>
    <row r="42" spans="1:15" x14ac:dyDescent="0.2">
      <c r="A42" s="25"/>
      <c r="B42" s="25"/>
      <c r="C42" s="25"/>
      <c r="D42" s="29" t="s">
        <v>31</v>
      </c>
      <c r="E42" s="25" t="s">
        <v>24</v>
      </c>
    </row>
    <row r="43" spans="1:15" x14ac:dyDescent="0.2">
      <c r="A43" s="25"/>
      <c r="B43" s="25"/>
      <c r="C43" s="25"/>
      <c r="D43" s="29" t="s">
        <v>32</v>
      </c>
      <c r="E43" s="25" t="s">
        <v>25</v>
      </c>
    </row>
    <row r="44" spans="1:15" x14ac:dyDescent="0.2">
      <c r="A44" s="25"/>
      <c r="B44" s="25"/>
      <c r="C44" s="25"/>
      <c r="D44" s="29" t="s">
        <v>33</v>
      </c>
      <c r="E44" s="25" t="s">
        <v>26</v>
      </c>
    </row>
  </sheetData>
  <mergeCells count="1">
    <mergeCell ref="A1:F1"/>
  </mergeCells>
  <printOptions horizontalCentered="1"/>
  <pageMargins left="0" right="0" top="0.98425196850393704" bottom="0.98425196850393704" header="0.51181102362204722" footer="0.51181102362204722"/>
  <pageSetup paperSize="9" scale="61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8730-6BC8-4EAA-9CD2-CE6FDEFE568B}">
  <sheetPr>
    <pageSetUpPr fitToPage="1"/>
  </sheetPr>
  <dimension ref="A1:O44"/>
  <sheetViews>
    <sheetView view="pageBreakPreview" zoomScaleSheetLayoutView="100" workbookViewId="0">
      <selection activeCell="A21" sqref="A21:XFD22"/>
    </sheetView>
  </sheetViews>
  <sheetFormatPr defaultColWidth="12.28515625" defaultRowHeight="12.75" x14ac:dyDescent="0.25"/>
  <cols>
    <col min="1" max="1" width="25.28515625" style="2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8" width="12.28515625" style="2" customWidth="1"/>
    <col min="9" max="9" width="14.42578125" style="2" customWidth="1"/>
    <col min="10" max="10" width="13.28515625" style="2" customWidth="1"/>
    <col min="11" max="11" width="13.85546875" style="2" customWidth="1"/>
    <col min="12" max="12" width="9.42578125" style="2" customWidth="1"/>
    <col min="13" max="13" width="11.28515625" style="2" customWidth="1"/>
    <col min="14" max="14" width="16.42578125" style="2" bestFit="1" customWidth="1"/>
    <col min="15" max="16384" width="12.28515625" style="2"/>
  </cols>
  <sheetData>
    <row r="1" spans="1:15" x14ac:dyDescent="0.2">
      <c r="A1" s="35" t="s">
        <v>28</v>
      </c>
      <c r="B1" s="35"/>
      <c r="C1" s="35"/>
      <c r="D1" s="35"/>
      <c r="E1" s="35"/>
      <c r="F1" s="35"/>
      <c r="I1" s="3"/>
      <c r="J1" s="3"/>
      <c r="K1" s="4"/>
    </row>
    <row r="2" spans="1:15" ht="15" x14ac:dyDescent="0.2">
      <c r="A2" s="5"/>
      <c r="B2" s="1" t="s">
        <v>0</v>
      </c>
      <c r="C2" s="1"/>
      <c r="D2" s="1"/>
      <c r="E2" s="1"/>
      <c r="F2" s="1"/>
      <c r="G2" s="4"/>
      <c r="H2" s="4"/>
      <c r="I2" s="30">
        <v>0.83330000000000004</v>
      </c>
      <c r="J2" s="6"/>
      <c r="K2" s="4"/>
      <c r="L2" s="4"/>
      <c r="M2" s="4"/>
    </row>
    <row r="3" spans="1:15" ht="15" x14ac:dyDescent="0.2">
      <c r="B3" s="22"/>
      <c r="C3" s="22"/>
      <c r="D3" s="22"/>
      <c r="E3" s="22"/>
      <c r="F3" s="22"/>
      <c r="G3" s="22"/>
      <c r="H3" s="23"/>
      <c r="I3" s="19"/>
      <c r="J3" s="19"/>
      <c r="K3" s="24"/>
      <c r="L3" s="24"/>
      <c r="M3" s="24"/>
      <c r="N3" s="20"/>
      <c r="O3" s="21"/>
    </row>
    <row r="4" spans="1:15" ht="29.25" customHeight="1" x14ac:dyDescent="0.25">
      <c r="B4" s="4"/>
      <c r="C4" s="4"/>
      <c r="D4" s="4"/>
      <c r="F4" s="7"/>
      <c r="G4" s="4"/>
      <c r="I4" s="34" t="s">
        <v>38</v>
      </c>
      <c r="J4" s="19"/>
      <c r="K4" s="3"/>
      <c r="L4" s="4"/>
      <c r="M4" s="4"/>
      <c r="N4" s="4"/>
    </row>
    <row r="5" spans="1:15" ht="38.25" x14ac:dyDescent="0.25">
      <c r="A5" s="8" t="s">
        <v>1</v>
      </c>
      <c r="B5" s="9" t="s">
        <v>2</v>
      </c>
      <c r="C5" s="9" t="s">
        <v>3</v>
      </c>
      <c r="D5" s="8" t="s">
        <v>4</v>
      </c>
      <c r="E5" s="9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19"/>
      <c r="K5" s="10" t="s">
        <v>10</v>
      </c>
      <c r="L5" s="11" t="s">
        <v>3</v>
      </c>
      <c r="M5" s="10" t="s">
        <v>11</v>
      </c>
      <c r="N5" s="12"/>
    </row>
    <row r="6" spans="1:15" ht="9.75" customHeight="1" x14ac:dyDescent="0.25">
      <c r="B6" s="13"/>
      <c r="C6" s="13"/>
      <c r="D6" s="13"/>
      <c r="E6" s="13"/>
      <c r="F6" s="13"/>
      <c r="G6" s="13"/>
      <c r="H6" s="13"/>
      <c r="I6" s="13"/>
      <c r="J6" s="19"/>
      <c r="O6" s="14"/>
    </row>
    <row r="7" spans="1:15" ht="15" x14ac:dyDescent="0.2">
      <c r="A7" s="11" t="s">
        <v>12</v>
      </c>
      <c r="B7" s="16">
        <f>ROUND(K7/12*$I$2,2)</f>
        <v>1348.15</v>
      </c>
      <c r="C7" s="16">
        <f>ROUND((L7)/12*$I$2,2)</f>
        <v>0</v>
      </c>
      <c r="D7" s="16">
        <f>ROUND((B7+C7)/12,2)</f>
        <v>112.35</v>
      </c>
      <c r="E7" s="16">
        <f>ROUND(M7/12*$I$2,2)</f>
        <v>114.33</v>
      </c>
      <c r="F7" s="16">
        <f>SUM(B7:E7)</f>
        <v>1574.83</v>
      </c>
      <c r="G7" s="16">
        <f>ROUND(F7-F7*2%,2)</f>
        <v>1543.33</v>
      </c>
      <c r="H7" s="17">
        <f>ROUND((F7)*40.38%+(F7)*1.61%,2)</f>
        <v>661.27</v>
      </c>
      <c r="I7" s="18">
        <f>G7+H7</f>
        <v>2204.6</v>
      </c>
      <c r="J7" s="19"/>
      <c r="K7" s="32">
        <v>19414.099999999999</v>
      </c>
      <c r="L7" s="32"/>
      <c r="M7" s="33">
        <v>1646.36</v>
      </c>
      <c r="N7" s="20"/>
      <c r="O7" s="21"/>
    </row>
    <row r="8" spans="1:15" ht="15" x14ac:dyDescent="0.2">
      <c r="A8" s="11" t="s">
        <v>13</v>
      </c>
      <c r="B8" s="16">
        <f t="shared" ref="B8:B11" si="0">ROUND(K8/12*$I$2,2)</f>
        <v>1479.58</v>
      </c>
      <c r="C8" s="16">
        <f t="shared" ref="C8:C11" si="1">ROUND((L8)/12*$I$2,2)</f>
        <v>0</v>
      </c>
      <c r="D8" s="16">
        <f t="shared" ref="D8:D11" si="2">ROUND((B8+C8)/12,2)</f>
        <v>123.3</v>
      </c>
      <c r="E8" s="16">
        <f t="shared" ref="E8:E11" si="3">ROUND(M8/12*$I$2,2)</f>
        <v>114.33</v>
      </c>
      <c r="F8" s="16">
        <f>SUM(B8:E8)</f>
        <v>1717.2099999999998</v>
      </c>
      <c r="G8" s="16">
        <f t="shared" ref="G8:G10" si="4">ROUND(F8-F8*2%,2)</f>
        <v>1682.87</v>
      </c>
      <c r="H8" s="17">
        <f t="shared" ref="H8:H10" si="5">ROUND((F8)*40.38%+(F8)*1.61%,2)</f>
        <v>721.06</v>
      </c>
      <c r="I8" s="18">
        <f t="shared" ref="I8" si="6">G8+H8</f>
        <v>2403.9299999999998</v>
      </c>
      <c r="J8" s="19"/>
      <c r="K8" s="32">
        <v>21306.79</v>
      </c>
      <c r="L8" s="32"/>
      <c r="M8" s="33">
        <v>1646.36</v>
      </c>
      <c r="N8" s="20"/>
      <c r="O8" s="21"/>
    </row>
    <row r="9" spans="1:15" ht="15" x14ac:dyDescent="0.2">
      <c r="A9" s="11" t="s">
        <v>14</v>
      </c>
      <c r="B9" s="16">
        <f t="shared" si="0"/>
        <v>1525.78</v>
      </c>
      <c r="C9" s="16">
        <f t="shared" si="1"/>
        <v>0</v>
      </c>
      <c r="D9" s="16">
        <f t="shared" si="2"/>
        <v>127.15</v>
      </c>
      <c r="E9" s="16">
        <f t="shared" si="3"/>
        <v>151.88</v>
      </c>
      <c r="F9" s="16">
        <f>SUM(B9:E9)</f>
        <v>1804.81</v>
      </c>
      <c r="G9" s="16">
        <f t="shared" si="4"/>
        <v>1768.71</v>
      </c>
      <c r="H9" s="17">
        <f t="shared" si="5"/>
        <v>757.84</v>
      </c>
      <c r="I9" s="18">
        <f>G9+H9</f>
        <v>2526.5500000000002</v>
      </c>
      <c r="J9" s="19"/>
      <c r="K9" s="32">
        <v>21972.04</v>
      </c>
      <c r="L9" s="32"/>
      <c r="M9" s="33">
        <v>2187.17</v>
      </c>
      <c r="N9" s="20"/>
      <c r="O9" s="21"/>
    </row>
    <row r="10" spans="1:15" ht="15" x14ac:dyDescent="0.2">
      <c r="A10" s="11" t="s">
        <v>15</v>
      </c>
      <c r="B10" s="16">
        <f t="shared" si="0"/>
        <v>1771.16</v>
      </c>
      <c r="C10" s="16">
        <f t="shared" si="1"/>
        <v>0</v>
      </c>
      <c r="D10" s="16">
        <f t="shared" si="2"/>
        <v>147.6</v>
      </c>
      <c r="E10" s="16">
        <f t="shared" si="3"/>
        <v>210.16</v>
      </c>
      <c r="F10" s="16">
        <f>SUM(B10:E10)</f>
        <v>2128.92</v>
      </c>
      <c r="G10" s="16">
        <f t="shared" si="4"/>
        <v>2086.34</v>
      </c>
      <c r="H10" s="17">
        <f t="shared" si="5"/>
        <v>893.93</v>
      </c>
      <c r="I10" s="18">
        <f>G10+H10</f>
        <v>2980.27</v>
      </c>
      <c r="J10" s="19"/>
      <c r="K10" s="32">
        <v>25505.79</v>
      </c>
      <c r="L10" s="32"/>
      <c r="M10" s="33">
        <v>3026.46</v>
      </c>
      <c r="N10" s="20"/>
      <c r="O10" s="21"/>
    </row>
    <row r="11" spans="1:15" ht="15" x14ac:dyDescent="0.2">
      <c r="A11" s="11" t="s">
        <v>16</v>
      </c>
      <c r="B11" s="16">
        <f t="shared" si="0"/>
        <v>1992.53</v>
      </c>
      <c r="C11" s="16">
        <f t="shared" si="1"/>
        <v>0</v>
      </c>
      <c r="D11" s="16">
        <f t="shared" si="2"/>
        <v>166.04</v>
      </c>
      <c r="E11" s="16">
        <f t="shared" si="3"/>
        <v>248.41</v>
      </c>
      <c r="F11" s="16">
        <f>SUM(B11:E11)</f>
        <v>2406.98</v>
      </c>
      <c r="G11" s="16">
        <f>ROUND(F11-F11*2%,2)</f>
        <v>2358.84</v>
      </c>
      <c r="H11" s="17">
        <f>ROUND((F11)*40.38%+(F11)*1.61%+((B11+C11)-(556.86*$I$2))*4.36%,2)</f>
        <v>1077.33</v>
      </c>
      <c r="I11" s="18">
        <f>G11+H11</f>
        <v>3436.17</v>
      </c>
      <c r="J11" s="19"/>
      <c r="K11" s="32">
        <v>28693.65</v>
      </c>
      <c r="L11" s="32"/>
      <c r="M11" s="33">
        <v>3577.2</v>
      </c>
      <c r="N11" s="20"/>
      <c r="O11" s="21"/>
    </row>
    <row r="12" spans="1:15" ht="15" x14ac:dyDescent="0.2">
      <c r="B12" s="22"/>
      <c r="C12" s="22"/>
      <c r="D12" s="22"/>
      <c r="E12" s="22"/>
      <c r="F12" s="22"/>
      <c r="G12" s="22"/>
      <c r="H12" s="23"/>
      <c r="I12" s="19"/>
      <c r="J12" s="19"/>
      <c r="K12" s="24"/>
      <c r="L12" s="24"/>
      <c r="M12" s="24"/>
      <c r="N12" s="20"/>
      <c r="O12" s="21"/>
    </row>
    <row r="13" spans="1:15" ht="29.25" customHeight="1" x14ac:dyDescent="0.25">
      <c r="B13" s="4"/>
      <c r="C13" s="4"/>
      <c r="D13" s="4"/>
      <c r="F13" s="7"/>
      <c r="G13" s="4"/>
      <c r="I13" s="34" t="s">
        <v>39</v>
      </c>
      <c r="J13" s="19"/>
      <c r="K13" s="3"/>
      <c r="L13" s="4"/>
      <c r="M13" s="4"/>
      <c r="N13" s="4"/>
    </row>
    <row r="14" spans="1:15" ht="38.25" x14ac:dyDescent="0.25">
      <c r="A14" s="8" t="s">
        <v>1</v>
      </c>
      <c r="B14" s="9" t="s">
        <v>2</v>
      </c>
      <c r="C14" s="9" t="s">
        <v>35</v>
      </c>
      <c r="D14" s="8" t="s">
        <v>4</v>
      </c>
      <c r="E14" s="9" t="s">
        <v>5</v>
      </c>
      <c r="F14" s="8" t="s">
        <v>6</v>
      </c>
      <c r="G14" s="9" t="s">
        <v>7</v>
      </c>
      <c r="H14" s="9" t="s">
        <v>8</v>
      </c>
      <c r="I14" s="9" t="s">
        <v>9</v>
      </c>
      <c r="J14" s="19"/>
      <c r="K14" s="10" t="s">
        <v>10</v>
      </c>
      <c r="L14" s="11" t="s">
        <v>3</v>
      </c>
      <c r="M14" s="10" t="s">
        <v>11</v>
      </c>
      <c r="N14" s="12"/>
    </row>
    <row r="15" spans="1:15" ht="9.75" customHeight="1" x14ac:dyDescent="0.25">
      <c r="B15" s="13"/>
      <c r="C15" s="13"/>
      <c r="D15" s="13"/>
      <c r="E15" s="13"/>
      <c r="F15" s="13"/>
      <c r="G15" s="13"/>
      <c r="H15" s="13"/>
      <c r="I15" s="13"/>
      <c r="J15" s="19"/>
      <c r="O15" s="14"/>
    </row>
    <row r="16" spans="1:15" ht="15" x14ac:dyDescent="0.2">
      <c r="A16" s="15" t="s">
        <v>17</v>
      </c>
      <c r="B16" s="16">
        <f t="shared" ref="B16:B19" si="7">ROUND(K16/12*$I$2,2)</f>
        <v>1479.58</v>
      </c>
      <c r="C16" s="16">
        <f>ROUND((L16)/12*$I$2,2)</f>
        <v>0</v>
      </c>
      <c r="D16" s="16">
        <f>ROUND((B16+C16)/12,2)</f>
        <v>123.3</v>
      </c>
      <c r="E16" s="16">
        <f>ROUND(M16/12*$I$2,2)</f>
        <v>114.33</v>
      </c>
      <c r="F16" s="16">
        <f>SUM(B16:E16)</f>
        <v>1717.2099999999998</v>
      </c>
      <c r="G16" s="16">
        <f t="shared" ref="G16:G18" si="8">ROUND(F16-F16*2%,2)</f>
        <v>1682.87</v>
      </c>
      <c r="H16" s="17">
        <f t="shared" ref="H16:H18" si="9">ROUND((F16)*40.38%+(F16)*1.61%,2)</f>
        <v>721.06</v>
      </c>
      <c r="I16" s="18">
        <f t="shared" ref="I16" si="10">G16+H16</f>
        <v>2403.9299999999998</v>
      </c>
      <c r="J16" s="19"/>
      <c r="K16" s="32">
        <v>21306.79</v>
      </c>
      <c r="L16" s="33"/>
      <c r="M16" s="33">
        <v>1646.36</v>
      </c>
      <c r="N16" s="20"/>
      <c r="O16" s="21"/>
    </row>
    <row r="17" spans="1:15" ht="15" x14ac:dyDescent="0.2">
      <c r="A17" s="15" t="s">
        <v>18</v>
      </c>
      <c r="B17" s="16">
        <f t="shared" si="7"/>
        <v>1552.58</v>
      </c>
      <c r="C17" s="16">
        <f t="shared" ref="C17:C19" si="11">ROUND((L17)/12*$I$2,2)</f>
        <v>0</v>
      </c>
      <c r="D17" s="16">
        <f t="shared" ref="D17:D19" si="12">ROUND((B17+C17)/12,2)</f>
        <v>129.38</v>
      </c>
      <c r="E17" s="16">
        <f>ROUND(M17/12*$I$2,2)</f>
        <v>151.88</v>
      </c>
      <c r="F17" s="16">
        <f>SUM(B17:E17)</f>
        <v>1833.8400000000001</v>
      </c>
      <c r="G17" s="16">
        <f t="shared" si="8"/>
        <v>1797.16</v>
      </c>
      <c r="H17" s="17">
        <f t="shared" si="9"/>
        <v>770.03</v>
      </c>
      <c r="I17" s="18">
        <f>G17+H17</f>
        <v>2567.19</v>
      </c>
      <c r="J17" s="19"/>
      <c r="K17" s="32">
        <v>22358.04</v>
      </c>
      <c r="L17" s="33"/>
      <c r="M17" s="33">
        <v>2187.17</v>
      </c>
      <c r="N17" s="20"/>
      <c r="O17" s="21"/>
    </row>
    <row r="18" spans="1:15" ht="15" x14ac:dyDescent="0.2">
      <c r="A18" s="15" t="s">
        <v>19</v>
      </c>
      <c r="B18" s="16">
        <f t="shared" si="7"/>
        <v>1771.16</v>
      </c>
      <c r="C18" s="16">
        <f t="shared" si="11"/>
        <v>0</v>
      </c>
      <c r="D18" s="16">
        <f t="shared" si="12"/>
        <v>147.6</v>
      </c>
      <c r="E18" s="16">
        <f>ROUND(M18/12*$I$2,2)</f>
        <v>210.16</v>
      </c>
      <c r="F18" s="16">
        <f>SUM(B18:E18)</f>
        <v>2128.92</v>
      </c>
      <c r="G18" s="16">
        <f t="shared" si="8"/>
        <v>2086.34</v>
      </c>
      <c r="H18" s="17">
        <f t="shared" si="9"/>
        <v>893.93</v>
      </c>
      <c r="I18" s="18">
        <f>G18+H18</f>
        <v>2980.27</v>
      </c>
      <c r="J18" s="19"/>
      <c r="K18" s="32">
        <v>25505.79</v>
      </c>
      <c r="L18" s="33"/>
      <c r="M18" s="33">
        <v>3026.46</v>
      </c>
      <c r="N18" s="20"/>
      <c r="O18" s="21"/>
    </row>
    <row r="19" spans="1:15" ht="15" x14ac:dyDescent="0.2">
      <c r="A19" s="15" t="s">
        <v>20</v>
      </c>
      <c r="B19" s="16">
        <f t="shared" si="7"/>
        <v>1992.53</v>
      </c>
      <c r="C19" s="16">
        <f t="shared" si="11"/>
        <v>0</v>
      </c>
      <c r="D19" s="16">
        <f t="shared" si="12"/>
        <v>166.04</v>
      </c>
      <c r="E19" s="16">
        <f>ROUND(M19/12*$I$2,2)</f>
        <v>248.41</v>
      </c>
      <c r="F19" s="16">
        <f>SUM(B19:E19)</f>
        <v>2406.98</v>
      </c>
      <c r="G19" s="16">
        <f>ROUND(F19-F19*2%,2)</f>
        <v>2358.84</v>
      </c>
      <c r="H19" s="17">
        <f>ROUND((F19)*40.38%+(F19)*1.61%+((B19+C19)-(556.86*$I$2))*4.36%,2)</f>
        <v>1077.33</v>
      </c>
      <c r="I19" s="18">
        <f>G19+H19</f>
        <v>3436.17</v>
      </c>
      <c r="J19" s="19"/>
      <c r="K19" s="32">
        <v>28693.65</v>
      </c>
      <c r="L19" s="33"/>
      <c r="M19" s="33">
        <v>3577.2</v>
      </c>
      <c r="N19" s="20"/>
      <c r="O19" s="21"/>
    </row>
    <row r="20" spans="1:15" ht="15" x14ac:dyDescent="0.2">
      <c r="B20" s="22"/>
      <c r="C20" s="22"/>
      <c r="D20" s="22"/>
      <c r="E20" s="22"/>
      <c r="F20" s="22"/>
      <c r="G20" s="22"/>
      <c r="H20" s="23"/>
      <c r="I20" s="19"/>
      <c r="J20" s="19"/>
      <c r="K20" s="24"/>
      <c r="L20" s="24"/>
      <c r="M20" s="24"/>
      <c r="N20" s="20"/>
      <c r="O20" s="21"/>
    </row>
    <row r="21" spans="1:15" ht="29.25" customHeight="1" x14ac:dyDescent="0.25">
      <c r="B21" s="4"/>
      <c r="C21" s="4"/>
      <c r="D21" s="4"/>
      <c r="F21" s="7"/>
      <c r="G21" s="4"/>
      <c r="I21" s="34" t="s">
        <v>37</v>
      </c>
      <c r="J21" s="19"/>
      <c r="K21" s="3"/>
      <c r="L21" s="4"/>
      <c r="M21" s="4"/>
      <c r="N21" s="4"/>
    </row>
    <row r="22" spans="1:15" ht="38.25" x14ac:dyDescent="0.25">
      <c r="A22" s="8" t="s">
        <v>1</v>
      </c>
      <c r="B22" s="9" t="s">
        <v>2</v>
      </c>
      <c r="C22" s="9" t="s">
        <v>35</v>
      </c>
      <c r="D22" s="8" t="s">
        <v>4</v>
      </c>
      <c r="E22" s="9" t="s">
        <v>5</v>
      </c>
      <c r="F22" s="8" t="s">
        <v>6</v>
      </c>
      <c r="G22" s="9" t="s">
        <v>7</v>
      </c>
      <c r="H22" s="9" t="s">
        <v>8</v>
      </c>
      <c r="I22" s="9" t="s">
        <v>9</v>
      </c>
      <c r="J22" s="19"/>
      <c r="K22" s="10" t="s">
        <v>10</v>
      </c>
      <c r="L22" s="11" t="s">
        <v>3</v>
      </c>
      <c r="M22" s="10" t="s">
        <v>11</v>
      </c>
      <c r="N22" s="12"/>
    </row>
    <row r="23" spans="1:15" ht="9.75" customHeight="1" x14ac:dyDescent="0.25">
      <c r="B23" s="13"/>
      <c r="C23" s="13"/>
      <c r="D23" s="13"/>
      <c r="E23" s="13"/>
      <c r="F23" s="13"/>
      <c r="G23" s="13"/>
      <c r="H23" s="13"/>
      <c r="I23" s="13"/>
      <c r="J23" s="19"/>
      <c r="O23" s="14"/>
    </row>
    <row r="24" spans="1:15" ht="15" x14ac:dyDescent="0.2">
      <c r="A24" s="15" t="s">
        <v>17</v>
      </c>
      <c r="B24" s="16">
        <f t="shared" ref="B24:B27" si="13">ROUND(K24/12*$I$2,2)</f>
        <v>1479.58</v>
      </c>
      <c r="C24" s="16">
        <f>ROUND((L24)/12*$I$2,2)</f>
        <v>8.8699999999999992</v>
      </c>
      <c r="D24" s="16">
        <f>ROUND((B24+C24)/12,2)</f>
        <v>124.04</v>
      </c>
      <c r="E24" s="16">
        <f>ROUND(M24/12*$I$2,2)</f>
        <v>114.33</v>
      </c>
      <c r="F24" s="16">
        <f>SUM(B24:E24)</f>
        <v>1726.8199999999997</v>
      </c>
      <c r="G24" s="16">
        <f t="shared" ref="G24:G26" si="14">ROUND(F24-F24*2%,2)</f>
        <v>1692.28</v>
      </c>
      <c r="H24" s="17">
        <f t="shared" ref="H24:H26" si="15">ROUND((F24)*40.38%+(F24)*1.61%,2)</f>
        <v>725.09</v>
      </c>
      <c r="I24" s="18">
        <f t="shared" ref="I24" si="16">G24+H24</f>
        <v>2417.37</v>
      </c>
      <c r="J24" s="19"/>
      <c r="K24" s="32">
        <v>21306.79</v>
      </c>
      <c r="L24" s="33">
        <f>10.65*12</f>
        <v>127.80000000000001</v>
      </c>
      <c r="M24" s="33">
        <v>1646.36</v>
      </c>
      <c r="N24" s="20"/>
      <c r="O24" s="21"/>
    </row>
    <row r="25" spans="1:15" ht="15" x14ac:dyDescent="0.2">
      <c r="A25" s="15" t="s">
        <v>18</v>
      </c>
      <c r="B25" s="16">
        <f t="shared" si="13"/>
        <v>1552.58</v>
      </c>
      <c r="C25" s="16">
        <f t="shared" ref="C25:C27" si="17">ROUND((L25)/12*$I$2,2)</f>
        <v>9.32</v>
      </c>
      <c r="D25" s="16">
        <f t="shared" ref="D25:D27" si="18">ROUND((B25+C25)/12,2)</f>
        <v>130.16</v>
      </c>
      <c r="E25" s="16">
        <f>ROUND(M25/12*$I$2,2)</f>
        <v>151.88</v>
      </c>
      <c r="F25" s="16">
        <f>SUM(B25:E25)</f>
        <v>1843.94</v>
      </c>
      <c r="G25" s="16">
        <f t="shared" si="14"/>
        <v>1807.06</v>
      </c>
      <c r="H25" s="17">
        <f t="shared" si="15"/>
        <v>774.27</v>
      </c>
      <c r="I25" s="18">
        <f>G25+H25</f>
        <v>2581.33</v>
      </c>
      <c r="J25" s="19"/>
      <c r="K25" s="32">
        <v>22358.04</v>
      </c>
      <c r="L25" s="33">
        <f>11.18*12</f>
        <v>134.16</v>
      </c>
      <c r="M25" s="33">
        <v>2187.17</v>
      </c>
      <c r="N25" s="20"/>
      <c r="O25" s="21"/>
    </row>
    <row r="26" spans="1:15" ht="15" x14ac:dyDescent="0.2">
      <c r="A26" s="15" t="s">
        <v>19</v>
      </c>
      <c r="B26" s="16">
        <f t="shared" si="13"/>
        <v>1771.16</v>
      </c>
      <c r="C26" s="16">
        <f t="shared" si="17"/>
        <v>10.62</v>
      </c>
      <c r="D26" s="16">
        <f t="shared" si="18"/>
        <v>148.47999999999999</v>
      </c>
      <c r="E26" s="16">
        <f>ROUND(M26/12*$I$2,2)</f>
        <v>210.16</v>
      </c>
      <c r="F26" s="16">
        <f>SUM(B26:E26)</f>
        <v>2140.42</v>
      </c>
      <c r="G26" s="16">
        <f t="shared" si="14"/>
        <v>2097.61</v>
      </c>
      <c r="H26" s="17">
        <f t="shared" si="15"/>
        <v>898.76</v>
      </c>
      <c r="I26" s="18">
        <f>G26+H26</f>
        <v>2996.37</v>
      </c>
      <c r="J26" s="19"/>
      <c r="K26" s="32">
        <v>25505.79</v>
      </c>
      <c r="L26" s="33">
        <f>12.75*12</f>
        <v>153</v>
      </c>
      <c r="M26" s="33">
        <v>3026.46</v>
      </c>
      <c r="N26" s="20"/>
      <c r="O26" s="21"/>
    </row>
    <row r="27" spans="1:15" ht="15" x14ac:dyDescent="0.2">
      <c r="A27" s="15" t="s">
        <v>20</v>
      </c>
      <c r="B27" s="16">
        <f t="shared" si="13"/>
        <v>1992.53</v>
      </c>
      <c r="C27" s="16">
        <f t="shared" si="17"/>
        <v>11.96</v>
      </c>
      <c r="D27" s="16">
        <f t="shared" si="18"/>
        <v>167.04</v>
      </c>
      <c r="E27" s="16">
        <f>ROUND(M27/12*$I$2,2)</f>
        <v>248.41</v>
      </c>
      <c r="F27" s="16">
        <f>SUM(B27:E27)</f>
        <v>2419.94</v>
      </c>
      <c r="G27" s="16">
        <f>ROUND(F27-F27*2%,2)</f>
        <v>2371.54</v>
      </c>
      <c r="H27" s="17">
        <f>ROUND((F27)*40.38%+(F27)*1.61%+((B27+C27)-(556.86*$I$2))*4.36%,2)</f>
        <v>1083.3</v>
      </c>
      <c r="I27" s="18">
        <f>G27+H27</f>
        <v>3454.84</v>
      </c>
      <c r="J27" s="19"/>
      <c r="K27" s="32">
        <v>28693.65</v>
      </c>
      <c r="L27" s="33">
        <f>14.35*12</f>
        <v>172.2</v>
      </c>
      <c r="M27" s="33">
        <v>3577.2</v>
      </c>
      <c r="N27" s="20"/>
      <c r="O27" s="21"/>
    </row>
    <row r="29" spans="1:15" ht="29.25" customHeight="1" x14ac:dyDescent="0.25">
      <c r="B29" s="4"/>
      <c r="C29" s="4"/>
      <c r="D29" s="4"/>
      <c r="F29" s="7"/>
      <c r="G29" s="4"/>
      <c r="I29" s="34" t="s">
        <v>36</v>
      </c>
      <c r="J29" s="19"/>
      <c r="K29" s="3"/>
      <c r="L29" s="4"/>
      <c r="M29" s="4"/>
      <c r="N29" s="4"/>
    </row>
    <row r="30" spans="1:15" ht="38.25" x14ac:dyDescent="0.25">
      <c r="A30" s="8" t="s">
        <v>1</v>
      </c>
      <c r="B30" s="9" t="s">
        <v>2</v>
      </c>
      <c r="C30" s="9" t="s">
        <v>35</v>
      </c>
      <c r="D30" s="8" t="s">
        <v>4</v>
      </c>
      <c r="E30" s="9" t="s">
        <v>5</v>
      </c>
      <c r="F30" s="8" t="s">
        <v>6</v>
      </c>
      <c r="G30" s="9" t="s">
        <v>7</v>
      </c>
      <c r="H30" s="9" t="s">
        <v>8</v>
      </c>
      <c r="I30" s="9" t="s">
        <v>9</v>
      </c>
      <c r="J30" s="19"/>
      <c r="K30" s="10" t="s">
        <v>10</v>
      </c>
      <c r="L30" s="11" t="s">
        <v>3</v>
      </c>
      <c r="M30" s="10" t="s">
        <v>11</v>
      </c>
      <c r="N30" s="12"/>
    </row>
    <row r="31" spans="1:15" ht="9.75" customHeight="1" x14ac:dyDescent="0.25">
      <c r="B31" s="13"/>
      <c r="C31" s="13"/>
      <c r="D31" s="13"/>
      <c r="E31" s="13"/>
      <c r="F31" s="13"/>
      <c r="G31" s="13"/>
      <c r="H31" s="13"/>
      <c r="I31" s="13"/>
      <c r="J31" s="19"/>
      <c r="O31" s="14"/>
    </row>
    <row r="32" spans="1:15" ht="15" x14ac:dyDescent="0.2">
      <c r="A32" s="15" t="s">
        <v>17</v>
      </c>
      <c r="B32" s="16">
        <f t="shared" ref="B32:B35" si="19">ROUND(K32/12*$I$2,2)</f>
        <v>1479.58</v>
      </c>
      <c r="C32" s="16">
        <f>ROUND((L32)/12*$I$2,2)</f>
        <v>14.8</v>
      </c>
      <c r="D32" s="16">
        <f>ROUND((B32+C32)/12,2)</f>
        <v>124.53</v>
      </c>
      <c r="E32" s="16">
        <f>ROUND(M32/12*$I$2,2)</f>
        <v>114.33</v>
      </c>
      <c r="F32" s="16">
        <f>SUM(B32:E32)</f>
        <v>1733.2399999999998</v>
      </c>
      <c r="G32" s="16">
        <f t="shared" ref="G32:G34" si="20">ROUND(F32-F32*2%,2)</f>
        <v>1698.58</v>
      </c>
      <c r="H32" s="17">
        <f t="shared" ref="H32:H34" si="21">ROUND((F32)*40.38%+(F32)*1.61%,2)</f>
        <v>727.79</v>
      </c>
      <c r="I32" s="18">
        <f t="shared" ref="I32" si="22">G32+H32</f>
        <v>2426.37</v>
      </c>
      <c r="J32" s="19"/>
      <c r="K32" s="32">
        <v>21306.79</v>
      </c>
      <c r="L32" s="33">
        <f>17.76*12</f>
        <v>213.12</v>
      </c>
      <c r="M32" s="33">
        <v>1646.36</v>
      </c>
      <c r="N32" s="20"/>
      <c r="O32" s="21"/>
    </row>
    <row r="33" spans="1:15" ht="15" x14ac:dyDescent="0.2">
      <c r="A33" s="15" t="s">
        <v>18</v>
      </c>
      <c r="B33" s="16">
        <f t="shared" si="19"/>
        <v>1552.58</v>
      </c>
      <c r="C33" s="16">
        <f t="shared" ref="C33:C35" si="23">ROUND((L33)/12*$I$2,2)</f>
        <v>15.52</v>
      </c>
      <c r="D33" s="16">
        <f t="shared" ref="D33:D35" si="24">ROUND((B33+C33)/12,2)</f>
        <v>130.68</v>
      </c>
      <c r="E33" s="16">
        <f>ROUND(M33/12*$I$2,2)</f>
        <v>151.88</v>
      </c>
      <c r="F33" s="16">
        <f>SUM(B33:E33)</f>
        <v>1850.6599999999999</v>
      </c>
      <c r="G33" s="16">
        <f t="shared" si="20"/>
        <v>1813.65</v>
      </c>
      <c r="H33" s="17">
        <f t="shared" si="21"/>
        <v>777.09</v>
      </c>
      <c r="I33" s="18">
        <f>G33+H33</f>
        <v>2590.7400000000002</v>
      </c>
      <c r="J33" s="19"/>
      <c r="K33" s="32">
        <v>22358.04</v>
      </c>
      <c r="L33" s="33">
        <f>18.63*12</f>
        <v>223.56</v>
      </c>
      <c r="M33" s="33">
        <v>2187.17</v>
      </c>
      <c r="N33" s="20"/>
      <c r="O33" s="21"/>
    </row>
    <row r="34" spans="1:15" ht="15" x14ac:dyDescent="0.2">
      <c r="A34" s="15" t="s">
        <v>19</v>
      </c>
      <c r="B34" s="16">
        <f t="shared" si="19"/>
        <v>1771.16</v>
      </c>
      <c r="C34" s="16">
        <f t="shared" si="23"/>
        <v>17.71</v>
      </c>
      <c r="D34" s="16">
        <f t="shared" si="24"/>
        <v>149.07</v>
      </c>
      <c r="E34" s="16">
        <f>ROUND(M34/12*$I$2,2)</f>
        <v>210.16</v>
      </c>
      <c r="F34" s="16">
        <f>SUM(B34:E34)</f>
        <v>2148.1</v>
      </c>
      <c r="G34" s="16">
        <f t="shared" si="20"/>
        <v>2105.14</v>
      </c>
      <c r="H34" s="17">
        <f t="shared" si="21"/>
        <v>901.99</v>
      </c>
      <c r="I34" s="18">
        <f>G34+H34</f>
        <v>3007.13</v>
      </c>
      <c r="J34" s="19"/>
      <c r="K34" s="32">
        <v>25505.79</v>
      </c>
      <c r="L34" s="33">
        <f>21.25*12</f>
        <v>255</v>
      </c>
      <c r="M34" s="33">
        <v>3026.46</v>
      </c>
      <c r="N34" s="20"/>
      <c r="O34" s="21"/>
    </row>
    <row r="35" spans="1:15" ht="15" x14ac:dyDescent="0.2">
      <c r="A35" s="15" t="s">
        <v>20</v>
      </c>
      <c r="B35" s="16">
        <f t="shared" si="19"/>
        <v>1992.53</v>
      </c>
      <c r="C35" s="16">
        <f t="shared" si="23"/>
        <v>19.920000000000002</v>
      </c>
      <c r="D35" s="16">
        <f t="shared" si="24"/>
        <v>167.7</v>
      </c>
      <c r="E35" s="16">
        <f>ROUND(M35/12*$I$2,2)</f>
        <v>248.41</v>
      </c>
      <c r="F35" s="16">
        <f>SUM(B35:E35)</f>
        <v>2428.56</v>
      </c>
      <c r="G35" s="16">
        <f>ROUND(F35-F35*2%,2)</f>
        <v>2379.9899999999998</v>
      </c>
      <c r="H35" s="17">
        <f>ROUND((F35)*40.38%+(F35)*1.61%+((B35+C35)-(556.86*$I$2))*4.36%,2)</f>
        <v>1087.26</v>
      </c>
      <c r="I35" s="18">
        <f>G35+H35</f>
        <v>3467.25</v>
      </c>
      <c r="J35" s="19"/>
      <c r="K35" s="32">
        <v>28693.65</v>
      </c>
      <c r="L35" s="33">
        <f>23.91*12</f>
        <v>286.92</v>
      </c>
      <c r="M35" s="33">
        <v>3577.2</v>
      </c>
      <c r="N35" s="20"/>
      <c r="O35" s="21"/>
    </row>
    <row r="39" spans="1:15" ht="15" x14ac:dyDescent="0.2">
      <c r="A39" s="29" t="s">
        <v>21</v>
      </c>
      <c r="B39" s="31" t="s">
        <v>34</v>
      </c>
      <c r="C39" s="25"/>
      <c r="D39" s="26"/>
      <c r="E39" s="25"/>
      <c r="L39" s="27"/>
      <c r="M39" s="27"/>
      <c r="N39" s="28"/>
      <c r="O39" s="21"/>
    </row>
    <row r="40" spans="1:15" x14ac:dyDescent="0.2">
      <c r="A40" s="25"/>
      <c r="B40" s="25"/>
      <c r="C40" s="25"/>
      <c r="D40" s="29" t="s">
        <v>29</v>
      </c>
      <c r="E40" s="25" t="s">
        <v>22</v>
      </c>
      <c r="J40" s="2" t="s">
        <v>27</v>
      </c>
    </row>
    <row r="41" spans="1:15" x14ac:dyDescent="0.2">
      <c r="A41" s="25"/>
      <c r="B41" s="25"/>
      <c r="C41" s="25"/>
      <c r="D41" s="29" t="s">
        <v>30</v>
      </c>
      <c r="E41" s="25" t="s">
        <v>23</v>
      </c>
    </row>
    <row r="42" spans="1:15" x14ac:dyDescent="0.2">
      <c r="A42" s="25"/>
      <c r="B42" s="25"/>
      <c r="C42" s="25"/>
      <c r="D42" s="29" t="s">
        <v>31</v>
      </c>
      <c r="E42" s="25" t="s">
        <v>24</v>
      </c>
    </row>
    <row r="43" spans="1:15" x14ac:dyDescent="0.2">
      <c r="A43" s="25"/>
      <c r="B43" s="25"/>
      <c r="C43" s="25"/>
      <c r="D43" s="29" t="s">
        <v>32</v>
      </c>
      <c r="E43" s="25" t="s">
        <v>25</v>
      </c>
    </row>
    <row r="44" spans="1:15" x14ac:dyDescent="0.2">
      <c r="A44" s="25"/>
      <c r="B44" s="25"/>
      <c r="C44" s="25"/>
      <c r="D44" s="29" t="s">
        <v>33</v>
      </c>
      <c r="E44" s="25" t="s">
        <v>26</v>
      </c>
    </row>
  </sheetData>
  <mergeCells count="1">
    <mergeCell ref="A1:F1"/>
  </mergeCells>
  <printOptions horizontalCentered="1"/>
  <pageMargins left="0" right="0" top="0.98425196850393704" bottom="0.98425196850393704" header="0.51181102362204722" footer="0.51181102362204722"/>
  <pageSetup paperSize="9" scale="61"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78D4-CD65-48FB-BCAA-51C982C20BEC}">
  <sheetPr>
    <pageSetUpPr fitToPage="1"/>
  </sheetPr>
  <dimension ref="A1:O44"/>
  <sheetViews>
    <sheetView view="pageBreakPreview" zoomScaleSheetLayoutView="100" workbookViewId="0">
      <selection activeCell="A21" sqref="A21:XFD22"/>
    </sheetView>
  </sheetViews>
  <sheetFormatPr defaultColWidth="12.28515625" defaultRowHeight="12.75" x14ac:dyDescent="0.25"/>
  <cols>
    <col min="1" max="1" width="25.28515625" style="2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8" width="12.28515625" style="2" customWidth="1"/>
    <col min="9" max="9" width="14.42578125" style="2" customWidth="1"/>
    <col min="10" max="10" width="13.28515625" style="2" customWidth="1"/>
    <col min="11" max="11" width="13.85546875" style="2" customWidth="1"/>
    <col min="12" max="12" width="9.42578125" style="2" customWidth="1"/>
    <col min="13" max="13" width="11.28515625" style="2" customWidth="1"/>
    <col min="14" max="14" width="16.42578125" style="2" bestFit="1" customWidth="1"/>
    <col min="15" max="16384" width="12.28515625" style="2"/>
  </cols>
  <sheetData>
    <row r="1" spans="1:15" x14ac:dyDescent="0.2">
      <c r="A1" s="35" t="s">
        <v>28</v>
      </c>
      <c r="B1" s="35"/>
      <c r="C1" s="35"/>
      <c r="D1" s="35"/>
      <c r="E1" s="35"/>
      <c r="F1" s="35"/>
      <c r="I1" s="3"/>
      <c r="J1" s="3"/>
      <c r="K1" s="4"/>
    </row>
    <row r="2" spans="1:15" ht="15" x14ac:dyDescent="0.2">
      <c r="A2" s="5"/>
      <c r="B2" s="1" t="s">
        <v>0</v>
      </c>
      <c r="C2" s="1"/>
      <c r="D2" s="1"/>
      <c r="E2" s="1"/>
      <c r="F2" s="1"/>
      <c r="G2" s="4"/>
      <c r="H2" s="4"/>
      <c r="I2" s="30">
        <v>0.66659999999999997</v>
      </c>
      <c r="J2" s="6"/>
      <c r="K2" s="4"/>
      <c r="L2" s="4"/>
      <c r="M2" s="4"/>
    </row>
    <row r="3" spans="1:15" ht="15" x14ac:dyDescent="0.2">
      <c r="B3" s="22"/>
      <c r="C3" s="22"/>
      <c r="D3" s="22"/>
      <c r="E3" s="22"/>
      <c r="F3" s="22"/>
      <c r="G3" s="22"/>
      <c r="H3" s="23"/>
      <c r="I3" s="19"/>
      <c r="J3" s="19"/>
      <c r="K3" s="24"/>
      <c r="L3" s="24"/>
      <c r="M3" s="24"/>
      <c r="N3" s="20"/>
      <c r="O3" s="21"/>
    </row>
    <row r="4" spans="1:15" ht="29.25" customHeight="1" x14ac:dyDescent="0.25">
      <c r="B4" s="4"/>
      <c r="C4" s="4"/>
      <c r="D4" s="4"/>
      <c r="F4" s="7"/>
      <c r="G4" s="4"/>
      <c r="I4" s="34" t="s">
        <v>38</v>
      </c>
      <c r="J4" s="19"/>
      <c r="K4" s="3"/>
      <c r="L4" s="4"/>
      <c r="M4" s="4"/>
      <c r="N4" s="4"/>
    </row>
    <row r="5" spans="1:15" ht="38.25" x14ac:dyDescent="0.25">
      <c r="A5" s="8" t="s">
        <v>1</v>
      </c>
      <c r="B5" s="9" t="s">
        <v>2</v>
      </c>
      <c r="C5" s="9" t="s">
        <v>3</v>
      </c>
      <c r="D5" s="8" t="s">
        <v>4</v>
      </c>
      <c r="E5" s="9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19"/>
      <c r="K5" s="10" t="s">
        <v>10</v>
      </c>
      <c r="L5" s="11" t="s">
        <v>3</v>
      </c>
      <c r="M5" s="10" t="s">
        <v>11</v>
      </c>
      <c r="N5" s="12"/>
    </row>
    <row r="6" spans="1:15" ht="9.75" customHeight="1" x14ac:dyDescent="0.25">
      <c r="B6" s="13"/>
      <c r="C6" s="13"/>
      <c r="D6" s="13"/>
      <c r="E6" s="13"/>
      <c r="F6" s="13"/>
      <c r="G6" s="13"/>
      <c r="H6" s="13"/>
      <c r="I6" s="13"/>
      <c r="J6" s="19"/>
      <c r="O6" s="14"/>
    </row>
    <row r="7" spans="1:15" ht="15" x14ac:dyDescent="0.2">
      <c r="A7" s="11" t="s">
        <v>12</v>
      </c>
      <c r="B7" s="16">
        <f>ROUND(K7/12*$I$2,2)</f>
        <v>1078.45</v>
      </c>
      <c r="C7" s="16">
        <f>ROUND((L7)/12*$I$2,2)</f>
        <v>0</v>
      </c>
      <c r="D7" s="16">
        <f>ROUND((B7+C7)/12,2)</f>
        <v>89.87</v>
      </c>
      <c r="E7" s="16">
        <f>ROUND(M7/12*$I$2,2)</f>
        <v>91.46</v>
      </c>
      <c r="F7" s="16">
        <f>SUM(B7:E7)</f>
        <v>1259.7800000000002</v>
      </c>
      <c r="G7" s="16">
        <f>ROUND(F7-F7*2%,2)</f>
        <v>1234.58</v>
      </c>
      <c r="H7" s="17">
        <f>ROUND((F7)*40.38%+(F7)*1.61%,2)</f>
        <v>528.98</v>
      </c>
      <c r="I7" s="18">
        <f>G7+H7</f>
        <v>1763.56</v>
      </c>
      <c r="J7" s="19"/>
      <c r="K7" s="32">
        <v>19414.099999999999</v>
      </c>
      <c r="L7" s="32"/>
      <c r="M7" s="33">
        <v>1646.36</v>
      </c>
      <c r="N7" s="20"/>
      <c r="O7" s="21"/>
    </row>
    <row r="8" spans="1:15" ht="15" x14ac:dyDescent="0.2">
      <c r="A8" s="11" t="s">
        <v>13</v>
      </c>
      <c r="B8" s="16">
        <f t="shared" ref="B8:B11" si="0">ROUND(K8/12*$I$2,2)</f>
        <v>1183.5899999999999</v>
      </c>
      <c r="C8" s="16">
        <f t="shared" ref="C8:C11" si="1">ROUND((L8)/12*$I$2,2)</f>
        <v>0</v>
      </c>
      <c r="D8" s="16">
        <f t="shared" ref="D8:D11" si="2">ROUND((B8+C8)/12,2)</f>
        <v>98.63</v>
      </c>
      <c r="E8" s="16">
        <f t="shared" ref="E8:E11" si="3">ROUND(M8/12*$I$2,2)</f>
        <v>91.46</v>
      </c>
      <c r="F8" s="16">
        <f>SUM(B8:E8)</f>
        <v>1373.6799999999998</v>
      </c>
      <c r="G8" s="16">
        <f t="shared" ref="G8:G10" si="4">ROUND(F8-F8*2%,2)</f>
        <v>1346.21</v>
      </c>
      <c r="H8" s="17">
        <f t="shared" ref="H8:H10" si="5">ROUND((F8)*40.38%+(F8)*1.61%,2)</f>
        <v>576.80999999999995</v>
      </c>
      <c r="I8" s="18">
        <f t="shared" ref="I8" si="6">G8+H8</f>
        <v>1923.02</v>
      </c>
      <c r="J8" s="19"/>
      <c r="K8" s="32">
        <v>21306.79</v>
      </c>
      <c r="L8" s="32"/>
      <c r="M8" s="33">
        <v>1646.36</v>
      </c>
      <c r="N8" s="20"/>
      <c r="O8" s="21"/>
    </row>
    <row r="9" spans="1:15" ht="15" x14ac:dyDescent="0.2">
      <c r="A9" s="11" t="s">
        <v>14</v>
      </c>
      <c r="B9" s="16">
        <f t="shared" si="0"/>
        <v>1220.55</v>
      </c>
      <c r="C9" s="16">
        <f t="shared" si="1"/>
        <v>0</v>
      </c>
      <c r="D9" s="16">
        <f t="shared" si="2"/>
        <v>101.71</v>
      </c>
      <c r="E9" s="16">
        <f t="shared" si="3"/>
        <v>121.5</v>
      </c>
      <c r="F9" s="16">
        <f>SUM(B9:E9)</f>
        <v>1443.76</v>
      </c>
      <c r="G9" s="16">
        <f t="shared" si="4"/>
        <v>1414.88</v>
      </c>
      <c r="H9" s="17">
        <f t="shared" si="5"/>
        <v>606.23</v>
      </c>
      <c r="I9" s="18">
        <f>G9+H9</f>
        <v>2021.1100000000001</v>
      </c>
      <c r="J9" s="19"/>
      <c r="K9" s="32">
        <v>21972.04</v>
      </c>
      <c r="L9" s="32"/>
      <c r="M9" s="33">
        <v>2187.17</v>
      </c>
      <c r="N9" s="20"/>
      <c r="O9" s="21"/>
    </row>
    <row r="10" spans="1:15" ht="15" x14ac:dyDescent="0.2">
      <c r="A10" s="11" t="s">
        <v>15</v>
      </c>
      <c r="B10" s="16">
        <f t="shared" si="0"/>
        <v>1416.85</v>
      </c>
      <c r="C10" s="16">
        <f t="shared" si="1"/>
        <v>0</v>
      </c>
      <c r="D10" s="16">
        <f t="shared" si="2"/>
        <v>118.07</v>
      </c>
      <c r="E10" s="16">
        <f t="shared" si="3"/>
        <v>168.12</v>
      </c>
      <c r="F10" s="16">
        <f>SUM(B10:E10)</f>
        <v>1703.04</v>
      </c>
      <c r="G10" s="16">
        <f t="shared" si="4"/>
        <v>1668.98</v>
      </c>
      <c r="H10" s="17">
        <f t="shared" si="5"/>
        <v>715.11</v>
      </c>
      <c r="I10" s="18">
        <f>G10+H10</f>
        <v>2384.09</v>
      </c>
      <c r="J10" s="19"/>
      <c r="K10" s="32">
        <v>25505.79</v>
      </c>
      <c r="L10" s="32"/>
      <c r="M10" s="33">
        <v>3026.46</v>
      </c>
      <c r="N10" s="20"/>
      <c r="O10" s="21"/>
    </row>
    <row r="11" spans="1:15" ht="15" x14ac:dyDescent="0.2">
      <c r="A11" s="11" t="s">
        <v>16</v>
      </c>
      <c r="B11" s="16">
        <f t="shared" si="0"/>
        <v>1593.93</v>
      </c>
      <c r="C11" s="16">
        <f t="shared" si="1"/>
        <v>0</v>
      </c>
      <c r="D11" s="16">
        <f t="shared" si="2"/>
        <v>132.83000000000001</v>
      </c>
      <c r="E11" s="16">
        <f t="shared" si="3"/>
        <v>198.71</v>
      </c>
      <c r="F11" s="16">
        <f>SUM(B11:E11)</f>
        <v>1925.47</v>
      </c>
      <c r="G11" s="16">
        <f>ROUND(F11-F11*2%,2)</f>
        <v>1886.96</v>
      </c>
      <c r="H11" s="17">
        <f>ROUND((F11)*40.38%+(F11)*1.61%+((B11+C11)-(556.86*$I$2))*4.36%,2)</f>
        <v>861.82</v>
      </c>
      <c r="I11" s="18">
        <f>G11+H11</f>
        <v>2748.78</v>
      </c>
      <c r="J11" s="19"/>
      <c r="K11" s="32">
        <v>28693.65</v>
      </c>
      <c r="L11" s="32"/>
      <c r="M11" s="33">
        <v>3577.2</v>
      </c>
      <c r="N11" s="20"/>
      <c r="O11" s="21"/>
    </row>
    <row r="12" spans="1:15" ht="15" x14ac:dyDescent="0.2">
      <c r="B12" s="22"/>
      <c r="C12" s="22"/>
      <c r="D12" s="22"/>
      <c r="E12" s="22"/>
      <c r="F12" s="22"/>
      <c r="G12" s="22"/>
      <c r="H12" s="23"/>
      <c r="I12" s="19"/>
      <c r="J12" s="19"/>
      <c r="K12" s="24"/>
      <c r="L12" s="24"/>
      <c r="M12" s="24"/>
      <c r="N12" s="20"/>
      <c r="O12" s="21"/>
    </row>
    <row r="13" spans="1:15" ht="29.25" customHeight="1" x14ac:dyDescent="0.25">
      <c r="B13" s="4"/>
      <c r="C13" s="4"/>
      <c r="D13" s="4"/>
      <c r="F13" s="7"/>
      <c r="G13" s="4"/>
      <c r="I13" s="34" t="s">
        <v>39</v>
      </c>
      <c r="J13" s="19"/>
      <c r="K13" s="3"/>
      <c r="L13" s="4"/>
      <c r="M13" s="4"/>
      <c r="N13" s="4"/>
    </row>
    <row r="14" spans="1:15" ht="38.25" x14ac:dyDescent="0.25">
      <c r="A14" s="8" t="s">
        <v>1</v>
      </c>
      <c r="B14" s="9" t="s">
        <v>2</v>
      </c>
      <c r="C14" s="9" t="s">
        <v>35</v>
      </c>
      <c r="D14" s="8" t="s">
        <v>4</v>
      </c>
      <c r="E14" s="9" t="s">
        <v>5</v>
      </c>
      <c r="F14" s="8" t="s">
        <v>6</v>
      </c>
      <c r="G14" s="9" t="s">
        <v>7</v>
      </c>
      <c r="H14" s="9" t="s">
        <v>8</v>
      </c>
      <c r="I14" s="9" t="s">
        <v>9</v>
      </c>
      <c r="J14" s="19"/>
      <c r="K14" s="10" t="s">
        <v>10</v>
      </c>
      <c r="L14" s="11" t="s">
        <v>3</v>
      </c>
      <c r="M14" s="10" t="s">
        <v>11</v>
      </c>
      <c r="N14" s="12"/>
    </row>
    <row r="15" spans="1:15" ht="9.75" customHeight="1" x14ac:dyDescent="0.25">
      <c r="B15" s="13"/>
      <c r="C15" s="13"/>
      <c r="D15" s="13"/>
      <c r="E15" s="13"/>
      <c r="F15" s="13"/>
      <c r="G15" s="13"/>
      <c r="H15" s="13"/>
      <c r="I15" s="13"/>
      <c r="J15" s="19"/>
      <c r="O15" s="14"/>
    </row>
    <row r="16" spans="1:15" ht="15" x14ac:dyDescent="0.2">
      <c r="A16" s="15" t="s">
        <v>17</v>
      </c>
      <c r="B16" s="16">
        <f t="shared" ref="B16:B19" si="7">ROUND(K16/12*$I$2,2)</f>
        <v>1183.5899999999999</v>
      </c>
      <c r="C16" s="16">
        <f>ROUND((L16)/12*$I$2,2)</f>
        <v>0</v>
      </c>
      <c r="D16" s="16">
        <f>ROUND((B16+C16)/12,2)</f>
        <v>98.63</v>
      </c>
      <c r="E16" s="16">
        <f>ROUND(M16/12*$I$2,2)</f>
        <v>91.46</v>
      </c>
      <c r="F16" s="16">
        <f>SUM(B16:E16)</f>
        <v>1373.6799999999998</v>
      </c>
      <c r="G16" s="16">
        <f t="shared" ref="G16:G18" si="8">ROUND(F16-F16*2%,2)</f>
        <v>1346.21</v>
      </c>
      <c r="H16" s="17">
        <f t="shared" ref="H16:H18" si="9">ROUND((F16)*40.38%+(F16)*1.61%,2)</f>
        <v>576.80999999999995</v>
      </c>
      <c r="I16" s="18">
        <f t="shared" ref="I16" si="10">G16+H16</f>
        <v>1923.02</v>
      </c>
      <c r="J16" s="19"/>
      <c r="K16" s="32">
        <v>21306.79</v>
      </c>
      <c r="L16" s="33"/>
      <c r="M16" s="33">
        <v>1646.36</v>
      </c>
      <c r="N16" s="20"/>
      <c r="O16" s="21"/>
    </row>
    <row r="17" spans="1:15" ht="15" x14ac:dyDescent="0.2">
      <c r="A17" s="15" t="s">
        <v>18</v>
      </c>
      <c r="B17" s="16">
        <f t="shared" si="7"/>
        <v>1241.99</v>
      </c>
      <c r="C17" s="16">
        <f t="shared" ref="C17:C19" si="11">ROUND((L17)/12*$I$2,2)</f>
        <v>0</v>
      </c>
      <c r="D17" s="16">
        <f t="shared" ref="D17:D19" si="12">ROUND((B17+C17)/12,2)</f>
        <v>103.5</v>
      </c>
      <c r="E17" s="16">
        <f>ROUND(M17/12*$I$2,2)</f>
        <v>121.5</v>
      </c>
      <c r="F17" s="16">
        <f>SUM(B17:E17)</f>
        <v>1466.99</v>
      </c>
      <c r="G17" s="16">
        <f t="shared" si="8"/>
        <v>1437.65</v>
      </c>
      <c r="H17" s="17">
        <f t="shared" si="9"/>
        <v>615.99</v>
      </c>
      <c r="I17" s="18">
        <f>G17+H17</f>
        <v>2053.6400000000003</v>
      </c>
      <c r="J17" s="19"/>
      <c r="K17" s="32">
        <v>22358.04</v>
      </c>
      <c r="L17" s="33"/>
      <c r="M17" s="33">
        <v>2187.17</v>
      </c>
      <c r="N17" s="20"/>
      <c r="O17" s="21"/>
    </row>
    <row r="18" spans="1:15" ht="15" x14ac:dyDescent="0.2">
      <c r="A18" s="15" t="s">
        <v>19</v>
      </c>
      <c r="B18" s="16">
        <f t="shared" si="7"/>
        <v>1416.85</v>
      </c>
      <c r="C18" s="16">
        <f t="shared" si="11"/>
        <v>0</v>
      </c>
      <c r="D18" s="16">
        <f t="shared" si="12"/>
        <v>118.07</v>
      </c>
      <c r="E18" s="16">
        <f>ROUND(M18/12*$I$2,2)</f>
        <v>168.12</v>
      </c>
      <c r="F18" s="16">
        <f>SUM(B18:E18)</f>
        <v>1703.04</v>
      </c>
      <c r="G18" s="16">
        <f t="shared" si="8"/>
        <v>1668.98</v>
      </c>
      <c r="H18" s="17">
        <f t="shared" si="9"/>
        <v>715.11</v>
      </c>
      <c r="I18" s="18">
        <f>G18+H18</f>
        <v>2384.09</v>
      </c>
      <c r="J18" s="19"/>
      <c r="K18" s="32">
        <v>25505.79</v>
      </c>
      <c r="L18" s="33"/>
      <c r="M18" s="33">
        <v>3026.46</v>
      </c>
      <c r="N18" s="20"/>
      <c r="O18" s="21"/>
    </row>
    <row r="19" spans="1:15" ht="15" x14ac:dyDescent="0.2">
      <c r="A19" s="15" t="s">
        <v>20</v>
      </c>
      <c r="B19" s="16">
        <f t="shared" si="7"/>
        <v>1593.93</v>
      </c>
      <c r="C19" s="16">
        <f t="shared" si="11"/>
        <v>0</v>
      </c>
      <c r="D19" s="16">
        <f t="shared" si="12"/>
        <v>132.83000000000001</v>
      </c>
      <c r="E19" s="16">
        <f>ROUND(M19/12*$I$2,2)</f>
        <v>198.71</v>
      </c>
      <c r="F19" s="16">
        <f>SUM(B19:E19)</f>
        <v>1925.47</v>
      </c>
      <c r="G19" s="16">
        <f>ROUND(F19-F19*2%,2)</f>
        <v>1886.96</v>
      </c>
      <c r="H19" s="17">
        <f>ROUND((F19)*40.38%+(F19)*1.61%+((B19+C19)-(556.86*$I$2))*4.36%,2)</f>
        <v>861.82</v>
      </c>
      <c r="I19" s="18">
        <f>G19+H19</f>
        <v>2748.78</v>
      </c>
      <c r="J19" s="19"/>
      <c r="K19" s="32">
        <v>28693.65</v>
      </c>
      <c r="L19" s="33"/>
      <c r="M19" s="33">
        <v>3577.2</v>
      </c>
      <c r="N19" s="20"/>
      <c r="O19" s="21"/>
    </row>
    <row r="20" spans="1:15" ht="15" x14ac:dyDescent="0.2">
      <c r="B20" s="22"/>
      <c r="C20" s="22"/>
      <c r="D20" s="22"/>
      <c r="E20" s="22"/>
      <c r="F20" s="22"/>
      <c r="G20" s="22"/>
      <c r="H20" s="23"/>
      <c r="I20" s="19"/>
      <c r="J20" s="19"/>
      <c r="K20" s="24"/>
      <c r="L20" s="24"/>
      <c r="M20" s="24"/>
      <c r="N20" s="20"/>
      <c r="O20" s="21"/>
    </row>
    <row r="21" spans="1:15" ht="29.25" customHeight="1" x14ac:dyDescent="0.25">
      <c r="B21" s="4"/>
      <c r="C21" s="4"/>
      <c r="D21" s="4"/>
      <c r="F21" s="7"/>
      <c r="G21" s="4"/>
      <c r="I21" s="34" t="s">
        <v>37</v>
      </c>
      <c r="J21" s="19"/>
      <c r="K21" s="3"/>
      <c r="L21" s="4"/>
      <c r="M21" s="4"/>
      <c r="N21" s="4"/>
    </row>
    <row r="22" spans="1:15" ht="38.25" x14ac:dyDescent="0.25">
      <c r="A22" s="8" t="s">
        <v>1</v>
      </c>
      <c r="B22" s="9" t="s">
        <v>2</v>
      </c>
      <c r="C22" s="9" t="s">
        <v>35</v>
      </c>
      <c r="D22" s="8" t="s">
        <v>4</v>
      </c>
      <c r="E22" s="9" t="s">
        <v>5</v>
      </c>
      <c r="F22" s="8" t="s">
        <v>6</v>
      </c>
      <c r="G22" s="9" t="s">
        <v>7</v>
      </c>
      <c r="H22" s="9" t="s">
        <v>8</v>
      </c>
      <c r="I22" s="9" t="s">
        <v>9</v>
      </c>
      <c r="J22" s="19"/>
      <c r="K22" s="10" t="s">
        <v>10</v>
      </c>
      <c r="L22" s="11" t="s">
        <v>3</v>
      </c>
      <c r="M22" s="10" t="s">
        <v>11</v>
      </c>
      <c r="N22" s="12"/>
    </row>
    <row r="23" spans="1:15" ht="9.75" customHeight="1" x14ac:dyDescent="0.25">
      <c r="B23" s="13"/>
      <c r="C23" s="13"/>
      <c r="D23" s="13"/>
      <c r="E23" s="13"/>
      <c r="F23" s="13"/>
      <c r="G23" s="13"/>
      <c r="H23" s="13"/>
      <c r="I23" s="13"/>
      <c r="J23" s="19"/>
      <c r="O23" s="14"/>
    </row>
    <row r="24" spans="1:15" ht="15" x14ac:dyDescent="0.2">
      <c r="A24" s="15" t="s">
        <v>17</v>
      </c>
      <c r="B24" s="16">
        <f t="shared" ref="B24:B27" si="13">ROUND(K24/12*$I$2,2)</f>
        <v>1183.5899999999999</v>
      </c>
      <c r="C24" s="16">
        <f>ROUND((L24)/12*$I$2,2)</f>
        <v>7.1</v>
      </c>
      <c r="D24" s="16">
        <f>ROUND((B24+C24)/12,2)</f>
        <v>99.22</v>
      </c>
      <c r="E24" s="16">
        <f>ROUND(M24/12*$I$2,2)</f>
        <v>91.46</v>
      </c>
      <c r="F24" s="16">
        <f>SUM(B24:E24)</f>
        <v>1381.37</v>
      </c>
      <c r="G24" s="16">
        <f t="shared" ref="G24:G26" si="14">ROUND(F24-F24*2%,2)</f>
        <v>1353.74</v>
      </c>
      <c r="H24" s="17">
        <f t="shared" ref="H24:H26" si="15">ROUND((F24)*40.38%+(F24)*1.61%,2)</f>
        <v>580.04</v>
      </c>
      <c r="I24" s="18">
        <f t="shared" ref="I24" si="16">G24+H24</f>
        <v>1933.78</v>
      </c>
      <c r="J24" s="19"/>
      <c r="K24" s="32">
        <v>21306.79</v>
      </c>
      <c r="L24" s="33">
        <f>10.65*12</f>
        <v>127.80000000000001</v>
      </c>
      <c r="M24" s="33">
        <v>1646.36</v>
      </c>
      <c r="N24" s="20"/>
      <c r="O24" s="21"/>
    </row>
    <row r="25" spans="1:15" ht="15" x14ac:dyDescent="0.2">
      <c r="A25" s="15" t="s">
        <v>18</v>
      </c>
      <c r="B25" s="16">
        <f t="shared" si="13"/>
        <v>1241.99</v>
      </c>
      <c r="C25" s="16">
        <f t="shared" ref="C25:C27" si="17">ROUND((L25)/12*$I$2,2)</f>
        <v>7.45</v>
      </c>
      <c r="D25" s="16">
        <f t="shared" ref="D25:D27" si="18">ROUND((B25+C25)/12,2)</f>
        <v>104.12</v>
      </c>
      <c r="E25" s="16">
        <f>ROUND(M25/12*$I$2,2)</f>
        <v>121.5</v>
      </c>
      <c r="F25" s="16">
        <f>SUM(B25:E25)</f>
        <v>1475.06</v>
      </c>
      <c r="G25" s="16">
        <f t="shared" si="14"/>
        <v>1445.56</v>
      </c>
      <c r="H25" s="17">
        <f t="shared" si="15"/>
        <v>619.38</v>
      </c>
      <c r="I25" s="18">
        <f>G25+H25</f>
        <v>2064.94</v>
      </c>
      <c r="J25" s="19"/>
      <c r="K25" s="32">
        <v>22358.04</v>
      </c>
      <c r="L25" s="33">
        <f>11.18*12</f>
        <v>134.16</v>
      </c>
      <c r="M25" s="33">
        <v>2187.17</v>
      </c>
      <c r="N25" s="20"/>
      <c r="O25" s="21"/>
    </row>
    <row r="26" spans="1:15" ht="15" x14ac:dyDescent="0.2">
      <c r="A26" s="15" t="s">
        <v>19</v>
      </c>
      <c r="B26" s="16">
        <f t="shared" si="13"/>
        <v>1416.85</v>
      </c>
      <c r="C26" s="16">
        <f t="shared" si="17"/>
        <v>8.5</v>
      </c>
      <c r="D26" s="16">
        <f t="shared" si="18"/>
        <v>118.78</v>
      </c>
      <c r="E26" s="16">
        <f>ROUND(M26/12*$I$2,2)</f>
        <v>168.12</v>
      </c>
      <c r="F26" s="16">
        <f>SUM(B26:E26)</f>
        <v>1712.25</v>
      </c>
      <c r="G26" s="16">
        <f t="shared" si="14"/>
        <v>1678.01</v>
      </c>
      <c r="H26" s="17">
        <f t="shared" si="15"/>
        <v>718.97</v>
      </c>
      <c r="I26" s="18">
        <f>G26+H26</f>
        <v>2396.98</v>
      </c>
      <c r="J26" s="19"/>
      <c r="K26" s="32">
        <v>25505.79</v>
      </c>
      <c r="L26" s="33">
        <f>12.75*12</f>
        <v>153</v>
      </c>
      <c r="M26" s="33">
        <v>3026.46</v>
      </c>
      <c r="N26" s="20"/>
      <c r="O26" s="21"/>
    </row>
    <row r="27" spans="1:15" ht="15" x14ac:dyDescent="0.2">
      <c r="A27" s="15" t="s">
        <v>20</v>
      </c>
      <c r="B27" s="16">
        <f t="shared" si="13"/>
        <v>1593.93</v>
      </c>
      <c r="C27" s="16">
        <f t="shared" si="17"/>
        <v>9.57</v>
      </c>
      <c r="D27" s="16">
        <f t="shared" si="18"/>
        <v>133.63</v>
      </c>
      <c r="E27" s="16">
        <f>ROUND(M27/12*$I$2,2)</f>
        <v>198.71</v>
      </c>
      <c r="F27" s="16">
        <f>SUM(B27:E27)</f>
        <v>1935.8400000000001</v>
      </c>
      <c r="G27" s="16">
        <f>ROUND(F27-F27*2%,2)</f>
        <v>1897.12</v>
      </c>
      <c r="H27" s="17">
        <f>ROUND((F27)*40.38%+(F27)*1.61%+((B27+C27)-(556.86*$I$2))*4.36%,2)</f>
        <v>866.59</v>
      </c>
      <c r="I27" s="18">
        <f>G27+H27</f>
        <v>2763.71</v>
      </c>
      <c r="J27" s="19"/>
      <c r="K27" s="32">
        <v>28693.65</v>
      </c>
      <c r="L27" s="33">
        <f>14.35*12</f>
        <v>172.2</v>
      </c>
      <c r="M27" s="33">
        <v>3577.2</v>
      </c>
      <c r="N27" s="20"/>
      <c r="O27" s="21"/>
    </row>
    <row r="29" spans="1:15" ht="29.25" customHeight="1" x14ac:dyDescent="0.25">
      <c r="B29" s="4"/>
      <c r="C29" s="4"/>
      <c r="D29" s="4"/>
      <c r="F29" s="7"/>
      <c r="G29" s="4"/>
      <c r="I29" s="34" t="s">
        <v>36</v>
      </c>
      <c r="J29" s="19"/>
      <c r="K29" s="3"/>
      <c r="L29" s="4"/>
      <c r="M29" s="4"/>
      <c r="N29" s="4"/>
    </row>
    <row r="30" spans="1:15" ht="38.25" x14ac:dyDescent="0.25">
      <c r="A30" s="8" t="s">
        <v>1</v>
      </c>
      <c r="B30" s="9" t="s">
        <v>2</v>
      </c>
      <c r="C30" s="9" t="s">
        <v>35</v>
      </c>
      <c r="D30" s="8" t="s">
        <v>4</v>
      </c>
      <c r="E30" s="9" t="s">
        <v>5</v>
      </c>
      <c r="F30" s="8" t="s">
        <v>6</v>
      </c>
      <c r="G30" s="9" t="s">
        <v>7</v>
      </c>
      <c r="H30" s="9" t="s">
        <v>8</v>
      </c>
      <c r="I30" s="9" t="s">
        <v>9</v>
      </c>
      <c r="J30" s="19"/>
      <c r="K30" s="10" t="s">
        <v>10</v>
      </c>
      <c r="L30" s="11" t="s">
        <v>3</v>
      </c>
      <c r="M30" s="10" t="s">
        <v>11</v>
      </c>
      <c r="N30" s="12"/>
    </row>
    <row r="31" spans="1:15" ht="9.75" customHeight="1" x14ac:dyDescent="0.25">
      <c r="B31" s="13"/>
      <c r="C31" s="13"/>
      <c r="D31" s="13"/>
      <c r="E31" s="13"/>
      <c r="F31" s="13"/>
      <c r="G31" s="13"/>
      <c r="H31" s="13"/>
      <c r="I31" s="13"/>
      <c r="J31" s="19"/>
      <c r="O31" s="14"/>
    </row>
    <row r="32" spans="1:15" ht="15" x14ac:dyDescent="0.2">
      <c r="A32" s="15" t="s">
        <v>17</v>
      </c>
      <c r="B32" s="16">
        <f t="shared" ref="B32:B35" si="19">ROUND(K32/12*$I$2,2)</f>
        <v>1183.5899999999999</v>
      </c>
      <c r="C32" s="16">
        <f>ROUND((L32)/12*$I$2,2)</f>
        <v>11.84</v>
      </c>
      <c r="D32" s="16">
        <f>ROUND((B32+C32)/12,2)</f>
        <v>99.62</v>
      </c>
      <c r="E32" s="16">
        <f>ROUND(M32/12*$I$2,2)</f>
        <v>91.46</v>
      </c>
      <c r="F32" s="16">
        <f>SUM(B32:E32)</f>
        <v>1386.5099999999998</v>
      </c>
      <c r="G32" s="16">
        <f t="shared" ref="G32:G34" si="20">ROUND(F32-F32*2%,2)</f>
        <v>1358.78</v>
      </c>
      <c r="H32" s="17">
        <f t="shared" ref="H32:H34" si="21">ROUND((F32)*40.38%+(F32)*1.61%,2)</f>
        <v>582.20000000000005</v>
      </c>
      <c r="I32" s="18">
        <f t="shared" ref="I32" si="22">G32+H32</f>
        <v>1940.98</v>
      </c>
      <c r="J32" s="19"/>
      <c r="K32" s="32">
        <v>21306.79</v>
      </c>
      <c r="L32" s="33">
        <f>17.76*12</f>
        <v>213.12</v>
      </c>
      <c r="M32" s="33">
        <v>1646.36</v>
      </c>
      <c r="N32" s="20"/>
      <c r="O32" s="21"/>
    </row>
    <row r="33" spans="1:15" ht="15" x14ac:dyDescent="0.2">
      <c r="A33" s="15" t="s">
        <v>18</v>
      </c>
      <c r="B33" s="16">
        <f t="shared" si="19"/>
        <v>1241.99</v>
      </c>
      <c r="C33" s="16">
        <f t="shared" ref="C33:C35" si="23">ROUND((L33)/12*$I$2,2)</f>
        <v>12.42</v>
      </c>
      <c r="D33" s="16">
        <f t="shared" ref="D33:D35" si="24">ROUND((B33+C33)/12,2)</f>
        <v>104.53</v>
      </c>
      <c r="E33" s="16">
        <f>ROUND(M33/12*$I$2,2)</f>
        <v>121.5</v>
      </c>
      <c r="F33" s="16">
        <f>SUM(B33:E33)</f>
        <v>1480.44</v>
      </c>
      <c r="G33" s="16">
        <f t="shared" si="20"/>
        <v>1450.83</v>
      </c>
      <c r="H33" s="17">
        <f t="shared" si="21"/>
        <v>621.64</v>
      </c>
      <c r="I33" s="18">
        <f>G33+H33</f>
        <v>2072.4699999999998</v>
      </c>
      <c r="J33" s="19"/>
      <c r="K33" s="32">
        <v>22358.04</v>
      </c>
      <c r="L33" s="33">
        <f>18.63*12</f>
        <v>223.56</v>
      </c>
      <c r="M33" s="33">
        <v>2187.17</v>
      </c>
      <c r="N33" s="20"/>
      <c r="O33" s="21"/>
    </row>
    <row r="34" spans="1:15" ht="15" x14ac:dyDescent="0.2">
      <c r="A34" s="15" t="s">
        <v>19</v>
      </c>
      <c r="B34" s="16">
        <f t="shared" si="19"/>
        <v>1416.85</v>
      </c>
      <c r="C34" s="16">
        <f t="shared" si="23"/>
        <v>14.17</v>
      </c>
      <c r="D34" s="16">
        <f t="shared" si="24"/>
        <v>119.25</v>
      </c>
      <c r="E34" s="16">
        <f>ROUND(M34/12*$I$2,2)</f>
        <v>168.12</v>
      </c>
      <c r="F34" s="16">
        <f>SUM(B34:E34)</f>
        <v>1718.3899999999999</v>
      </c>
      <c r="G34" s="16">
        <f t="shared" si="20"/>
        <v>1684.02</v>
      </c>
      <c r="H34" s="17">
        <f t="shared" si="21"/>
        <v>721.55</v>
      </c>
      <c r="I34" s="18">
        <f>G34+H34</f>
        <v>2405.5699999999997</v>
      </c>
      <c r="J34" s="19"/>
      <c r="K34" s="32">
        <v>25505.79</v>
      </c>
      <c r="L34" s="33">
        <f>21.25*12</f>
        <v>255</v>
      </c>
      <c r="M34" s="33">
        <v>3026.46</v>
      </c>
      <c r="N34" s="20"/>
      <c r="O34" s="21"/>
    </row>
    <row r="35" spans="1:15" ht="15" x14ac:dyDescent="0.2">
      <c r="A35" s="15" t="s">
        <v>20</v>
      </c>
      <c r="B35" s="16">
        <f t="shared" si="19"/>
        <v>1593.93</v>
      </c>
      <c r="C35" s="16">
        <f t="shared" si="23"/>
        <v>15.94</v>
      </c>
      <c r="D35" s="16">
        <f t="shared" si="24"/>
        <v>134.16</v>
      </c>
      <c r="E35" s="16">
        <f>ROUND(M35/12*$I$2,2)</f>
        <v>198.71</v>
      </c>
      <c r="F35" s="16">
        <f>SUM(B35:E35)</f>
        <v>1942.7400000000002</v>
      </c>
      <c r="G35" s="16">
        <f>ROUND(F35-F35*2%,2)</f>
        <v>1903.89</v>
      </c>
      <c r="H35" s="17">
        <f>ROUND((F35)*40.38%+(F35)*1.61%+((B35+C35)-(556.86*$I$2))*4.36%,2)</f>
        <v>869.76</v>
      </c>
      <c r="I35" s="18">
        <f>G35+H35</f>
        <v>2773.65</v>
      </c>
      <c r="J35" s="19"/>
      <c r="K35" s="32">
        <v>28693.65</v>
      </c>
      <c r="L35" s="33">
        <f>23.91*12</f>
        <v>286.92</v>
      </c>
      <c r="M35" s="33">
        <v>3577.2</v>
      </c>
      <c r="N35" s="20"/>
      <c r="O35" s="21"/>
    </row>
    <row r="39" spans="1:15" ht="15" x14ac:dyDescent="0.2">
      <c r="A39" s="29" t="s">
        <v>21</v>
      </c>
      <c r="B39" s="31" t="s">
        <v>34</v>
      </c>
      <c r="C39" s="25"/>
      <c r="D39" s="26"/>
      <c r="E39" s="25"/>
      <c r="L39" s="27"/>
      <c r="M39" s="27"/>
      <c r="N39" s="28"/>
      <c r="O39" s="21"/>
    </row>
    <row r="40" spans="1:15" x14ac:dyDescent="0.2">
      <c r="A40" s="25"/>
      <c r="B40" s="25"/>
      <c r="C40" s="25"/>
      <c r="D40" s="29" t="s">
        <v>29</v>
      </c>
      <c r="E40" s="25" t="s">
        <v>22</v>
      </c>
      <c r="J40" s="2" t="s">
        <v>27</v>
      </c>
    </row>
    <row r="41" spans="1:15" x14ac:dyDescent="0.2">
      <c r="A41" s="25"/>
      <c r="B41" s="25"/>
      <c r="C41" s="25"/>
      <c r="D41" s="29" t="s">
        <v>30</v>
      </c>
      <c r="E41" s="25" t="s">
        <v>23</v>
      </c>
    </row>
    <row r="42" spans="1:15" x14ac:dyDescent="0.2">
      <c r="A42" s="25"/>
      <c r="B42" s="25"/>
      <c r="C42" s="25"/>
      <c r="D42" s="29" t="s">
        <v>31</v>
      </c>
      <c r="E42" s="25" t="s">
        <v>24</v>
      </c>
    </row>
    <row r="43" spans="1:15" x14ac:dyDescent="0.2">
      <c r="A43" s="25"/>
      <c r="B43" s="25"/>
      <c r="C43" s="25"/>
      <c r="D43" s="29" t="s">
        <v>32</v>
      </c>
      <c r="E43" s="25" t="s">
        <v>25</v>
      </c>
    </row>
    <row r="44" spans="1:15" x14ac:dyDescent="0.2">
      <c r="A44" s="25"/>
      <c r="B44" s="25"/>
      <c r="C44" s="25"/>
      <c r="D44" s="29" t="s">
        <v>33</v>
      </c>
      <c r="E44" s="25" t="s">
        <v>26</v>
      </c>
    </row>
  </sheetData>
  <mergeCells count="1">
    <mergeCell ref="A1:F1"/>
  </mergeCells>
  <printOptions horizontalCentered="1"/>
  <pageMargins left="0" right="0" top="0.98425196850393704" bottom="0.98425196850393704" header="0.51181102362204722" footer="0.51181102362204722"/>
  <pageSetup paperSize="9" scale="61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1A60-0CE9-45E5-B33B-E298C4DD8145}">
  <sheetPr>
    <pageSetUpPr fitToPage="1"/>
  </sheetPr>
  <dimension ref="A1:O44"/>
  <sheetViews>
    <sheetView tabSelected="1" view="pageBreakPreview" zoomScaleSheetLayoutView="100" workbookViewId="0">
      <selection activeCell="J22" sqref="J22"/>
    </sheetView>
  </sheetViews>
  <sheetFormatPr defaultColWidth="12.28515625" defaultRowHeight="12.75" x14ac:dyDescent="0.25"/>
  <cols>
    <col min="1" max="1" width="25.28515625" style="2" customWidth="1"/>
    <col min="2" max="2" width="13.7109375" style="2" customWidth="1"/>
    <col min="3" max="4" width="9.7109375" style="2" bestFit="1" customWidth="1"/>
    <col min="5" max="5" width="14.28515625" style="2" customWidth="1"/>
    <col min="6" max="6" width="14.85546875" style="2" customWidth="1"/>
    <col min="7" max="8" width="12.28515625" style="2" customWidth="1"/>
    <col min="9" max="9" width="14.42578125" style="2" customWidth="1"/>
    <col min="10" max="10" width="13.28515625" style="2" customWidth="1"/>
    <col min="11" max="11" width="13.85546875" style="2" customWidth="1"/>
    <col min="12" max="12" width="9.42578125" style="2" customWidth="1"/>
    <col min="13" max="13" width="11.28515625" style="2" customWidth="1"/>
    <col min="14" max="14" width="16.42578125" style="2" bestFit="1" customWidth="1"/>
    <col min="15" max="16384" width="12.28515625" style="2"/>
  </cols>
  <sheetData>
    <row r="1" spans="1:15" x14ac:dyDescent="0.2">
      <c r="A1" s="35" t="s">
        <v>28</v>
      </c>
      <c r="B1" s="35"/>
      <c r="C1" s="35"/>
      <c r="D1" s="35"/>
      <c r="E1" s="35"/>
      <c r="F1" s="35"/>
      <c r="I1" s="3"/>
      <c r="J1" s="3"/>
      <c r="K1" s="4"/>
    </row>
    <row r="2" spans="1:15" ht="15" x14ac:dyDescent="0.2">
      <c r="A2" s="5"/>
      <c r="B2" s="1" t="s">
        <v>0</v>
      </c>
      <c r="C2" s="1"/>
      <c r="D2" s="1"/>
      <c r="E2" s="1"/>
      <c r="F2" s="1"/>
      <c r="G2" s="4"/>
      <c r="H2" s="4"/>
      <c r="I2" s="30">
        <v>0.5</v>
      </c>
      <c r="J2" s="6"/>
      <c r="K2" s="4"/>
      <c r="L2" s="4"/>
      <c r="M2" s="4"/>
    </row>
    <row r="3" spans="1:15" ht="15" x14ac:dyDescent="0.2">
      <c r="B3" s="22"/>
      <c r="C3" s="22"/>
      <c r="D3" s="22"/>
      <c r="E3" s="22"/>
      <c r="F3" s="22"/>
      <c r="G3" s="22"/>
      <c r="H3" s="23"/>
      <c r="I3" s="19"/>
      <c r="J3" s="19"/>
      <c r="K3" s="24"/>
      <c r="L3" s="24"/>
      <c r="M3" s="24"/>
      <c r="N3" s="20"/>
      <c r="O3" s="21"/>
    </row>
    <row r="4" spans="1:15" ht="29.25" customHeight="1" x14ac:dyDescent="0.25">
      <c r="B4" s="4"/>
      <c r="C4" s="4"/>
      <c r="D4" s="4"/>
      <c r="F4" s="7"/>
      <c r="G4" s="4"/>
      <c r="I4" s="34" t="s">
        <v>38</v>
      </c>
      <c r="J4" s="19"/>
      <c r="K4" s="3"/>
      <c r="L4" s="4"/>
      <c r="M4" s="4"/>
      <c r="N4" s="4"/>
    </row>
    <row r="5" spans="1:15" ht="38.25" x14ac:dyDescent="0.25">
      <c r="A5" s="8" t="s">
        <v>1</v>
      </c>
      <c r="B5" s="9" t="s">
        <v>2</v>
      </c>
      <c r="C5" s="9" t="s">
        <v>3</v>
      </c>
      <c r="D5" s="8" t="s">
        <v>4</v>
      </c>
      <c r="E5" s="9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19"/>
      <c r="K5" s="10" t="s">
        <v>10</v>
      </c>
      <c r="L5" s="11" t="s">
        <v>3</v>
      </c>
      <c r="M5" s="10" t="s">
        <v>11</v>
      </c>
      <c r="N5" s="12"/>
    </row>
    <row r="6" spans="1:15" ht="9.75" customHeight="1" x14ac:dyDescent="0.25">
      <c r="B6" s="13"/>
      <c r="C6" s="13"/>
      <c r="D6" s="13"/>
      <c r="E6" s="13"/>
      <c r="F6" s="13"/>
      <c r="G6" s="13"/>
      <c r="H6" s="13"/>
      <c r="I6" s="13"/>
      <c r="J6" s="19"/>
      <c r="O6" s="14"/>
    </row>
    <row r="7" spans="1:15" ht="15" x14ac:dyDescent="0.2">
      <c r="A7" s="11" t="s">
        <v>12</v>
      </c>
      <c r="B7" s="16">
        <f>ROUND(K7/12*$I$2,2)</f>
        <v>808.92</v>
      </c>
      <c r="C7" s="16">
        <f>ROUND((L7)/12*$I$2,2)</f>
        <v>0</v>
      </c>
      <c r="D7" s="16">
        <f>ROUND((B7+C7)/12,2)</f>
        <v>67.41</v>
      </c>
      <c r="E7" s="16">
        <f>ROUND(M7/12*$I$2,2)</f>
        <v>68.599999999999994</v>
      </c>
      <c r="F7" s="16">
        <f>SUM(B7:E7)</f>
        <v>944.93</v>
      </c>
      <c r="G7" s="16">
        <f>ROUND(F7-F7*2%,2)</f>
        <v>926.03</v>
      </c>
      <c r="H7" s="17">
        <f>ROUND((F7)*40.38%+(F7)*1.61%,2)</f>
        <v>396.78</v>
      </c>
      <c r="I7" s="18">
        <f>G7+H7</f>
        <v>1322.81</v>
      </c>
      <c r="J7" s="19"/>
      <c r="K7" s="32">
        <v>19414.099999999999</v>
      </c>
      <c r="L7" s="32"/>
      <c r="M7" s="33">
        <v>1646.36</v>
      </c>
      <c r="N7" s="20"/>
      <c r="O7" s="21"/>
    </row>
    <row r="8" spans="1:15" ht="15" x14ac:dyDescent="0.2">
      <c r="A8" s="11" t="s">
        <v>13</v>
      </c>
      <c r="B8" s="16">
        <f t="shared" ref="B8:B11" si="0">ROUND(K8/12*$I$2,2)</f>
        <v>887.78</v>
      </c>
      <c r="C8" s="16">
        <f t="shared" ref="C8:C11" si="1">ROUND((L8)/12*$I$2,2)</f>
        <v>0</v>
      </c>
      <c r="D8" s="16">
        <f t="shared" ref="D8:D11" si="2">ROUND((B8+C8)/12,2)</f>
        <v>73.98</v>
      </c>
      <c r="E8" s="16">
        <f t="shared" ref="E8:E11" si="3">ROUND(M8/12*$I$2,2)</f>
        <v>68.599999999999994</v>
      </c>
      <c r="F8" s="16">
        <f>SUM(B8:E8)</f>
        <v>1030.3599999999999</v>
      </c>
      <c r="G8" s="16">
        <f t="shared" ref="G8:G10" si="4">ROUND(F8-F8*2%,2)</f>
        <v>1009.75</v>
      </c>
      <c r="H8" s="17">
        <f t="shared" ref="H8:H10" si="5">ROUND((F8)*40.38%+(F8)*1.61%,2)</f>
        <v>432.65</v>
      </c>
      <c r="I8" s="18">
        <f t="shared" ref="I8" si="6">G8+H8</f>
        <v>1442.4</v>
      </c>
      <c r="J8" s="19"/>
      <c r="K8" s="32">
        <v>21306.79</v>
      </c>
      <c r="L8" s="32"/>
      <c r="M8" s="33">
        <v>1646.36</v>
      </c>
      <c r="N8" s="20"/>
      <c r="O8" s="21"/>
    </row>
    <row r="9" spans="1:15" ht="15" x14ac:dyDescent="0.2">
      <c r="A9" s="11" t="s">
        <v>14</v>
      </c>
      <c r="B9" s="16">
        <f t="shared" si="0"/>
        <v>915.5</v>
      </c>
      <c r="C9" s="16">
        <f t="shared" si="1"/>
        <v>0</v>
      </c>
      <c r="D9" s="16">
        <f t="shared" si="2"/>
        <v>76.290000000000006</v>
      </c>
      <c r="E9" s="16">
        <f t="shared" si="3"/>
        <v>91.13</v>
      </c>
      <c r="F9" s="16">
        <f>SUM(B9:E9)</f>
        <v>1082.92</v>
      </c>
      <c r="G9" s="16">
        <f t="shared" si="4"/>
        <v>1061.26</v>
      </c>
      <c r="H9" s="17">
        <f t="shared" si="5"/>
        <v>454.72</v>
      </c>
      <c r="I9" s="18">
        <f>G9+H9</f>
        <v>1515.98</v>
      </c>
      <c r="J9" s="19"/>
      <c r="K9" s="32">
        <v>21972.04</v>
      </c>
      <c r="L9" s="32"/>
      <c r="M9" s="33">
        <v>2187.17</v>
      </c>
      <c r="N9" s="20"/>
      <c r="O9" s="21"/>
    </row>
    <row r="10" spans="1:15" ht="15" x14ac:dyDescent="0.2">
      <c r="A10" s="11" t="s">
        <v>15</v>
      </c>
      <c r="B10" s="16">
        <f t="shared" si="0"/>
        <v>1062.74</v>
      </c>
      <c r="C10" s="16">
        <f t="shared" si="1"/>
        <v>0</v>
      </c>
      <c r="D10" s="16">
        <f t="shared" si="2"/>
        <v>88.56</v>
      </c>
      <c r="E10" s="16">
        <f t="shared" si="3"/>
        <v>126.1</v>
      </c>
      <c r="F10" s="16">
        <f>SUM(B10:E10)</f>
        <v>1277.3999999999999</v>
      </c>
      <c r="G10" s="16">
        <f t="shared" si="4"/>
        <v>1251.8499999999999</v>
      </c>
      <c r="H10" s="17">
        <f t="shared" si="5"/>
        <v>536.38</v>
      </c>
      <c r="I10" s="18">
        <f>G10+H10</f>
        <v>1788.23</v>
      </c>
      <c r="J10" s="19"/>
      <c r="K10" s="32">
        <v>25505.79</v>
      </c>
      <c r="L10" s="32"/>
      <c r="M10" s="33">
        <v>3026.46</v>
      </c>
      <c r="N10" s="20"/>
      <c r="O10" s="21"/>
    </row>
    <row r="11" spans="1:15" ht="15" x14ac:dyDescent="0.2">
      <c r="A11" s="11" t="s">
        <v>16</v>
      </c>
      <c r="B11" s="16">
        <f t="shared" si="0"/>
        <v>1195.57</v>
      </c>
      <c r="C11" s="16">
        <f t="shared" si="1"/>
        <v>0</v>
      </c>
      <c r="D11" s="16">
        <f t="shared" si="2"/>
        <v>99.63</v>
      </c>
      <c r="E11" s="16">
        <f t="shared" si="3"/>
        <v>149.05000000000001</v>
      </c>
      <c r="F11" s="16">
        <f>SUM(B11:E11)</f>
        <v>1444.2499999999998</v>
      </c>
      <c r="G11" s="16">
        <f>ROUND(F11-F11*2%,2)</f>
        <v>1415.37</v>
      </c>
      <c r="H11" s="17">
        <f>ROUND((F11)*40.38%+(F11)*1.61%+((B11+C11)-(556.86*$I$2))*4.36%,2)</f>
        <v>646.42999999999995</v>
      </c>
      <c r="I11" s="18">
        <f>G11+H11</f>
        <v>2061.7999999999997</v>
      </c>
      <c r="J11" s="19"/>
      <c r="K11" s="32">
        <v>28693.65</v>
      </c>
      <c r="L11" s="32"/>
      <c r="M11" s="33">
        <v>3577.2</v>
      </c>
      <c r="N11" s="20"/>
      <c r="O11" s="21"/>
    </row>
    <row r="12" spans="1:15" ht="15" x14ac:dyDescent="0.2">
      <c r="B12" s="22"/>
      <c r="C12" s="22"/>
      <c r="D12" s="22"/>
      <c r="E12" s="22"/>
      <c r="F12" s="22"/>
      <c r="G12" s="22"/>
      <c r="H12" s="23"/>
      <c r="I12" s="19"/>
      <c r="J12" s="19"/>
      <c r="K12" s="24"/>
      <c r="L12" s="24"/>
      <c r="M12" s="24"/>
      <c r="N12" s="20"/>
      <c r="O12" s="21"/>
    </row>
    <row r="13" spans="1:15" ht="29.25" customHeight="1" x14ac:dyDescent="0.25">
      <c r="B13" s="4"/>
      <c r="C13" s="4"/>
      <c r="D13" s="4"/>
      <c r="F13" s="7"/>
      <c r="G13" s="4"/>
      <c r="I13" s="34" t="s">
        <v>39</v>
      </c>
      <c r="J13" s="19"/>
      <c r="K13" s="3"/>
      <c r="L13" s="4"/>
      <c r="M13" s="4"/>
      <c r="N13" s="4"/>
    </row>
    <row r="14" spans="1:15" ht="38.25" x14ac:dyDescent="0.25">
      <c r="A14" s="8" t="s">
        <v>1</v>
      </c>
      <c r="B14" s="9" t="s">
        <v>2</v>
      </c>
      <c r="C14" s="9" t="s">
        <v>35</v>
      </c>
      <c r="D14" s="8" t="s">
        <v>4</v>
      </c>
      <c r="E14" s="9" t="s">
        <v>5</v>
      </c>
      <c r="F14" s="8" t="s">
        <v>6</v>
      </c>
      <c r="G14" s="9" t="s">
        <v>7</v>
      </c>
      <c r="H14" s="9" t="s">
        <v>8</v>
      </c>
      <c r="I14" s="9" t="s">
        <v>9</v>
      </c>
      <c r="J14" s="19"/>
      <c r="K14" s="10" t="s">
        <v>10</v>
      </c>
      <c r="L14" s="11" t="s">
        <v>3</v>
      </c>
      <c r="M14" s="10" t="s">
        <v>11</v>
      </c>
      <c r="N14" s="12"/>
    </row>
    <row r="15" spans="1:15" ht="9.75" customHeight="1" x14ac:dyDescent="0.25">
      <c r="B15" s="13"/>
      <c r="C15" s="13"/>
      <c r="D15" s="13"/>
      <c r="E15" s="13"/>
      <c r="F15" s="13"/>
      <c r="G15" s="13"/>
      <c r="H15" s="13"/>
      <c r="I15" s="13"/>
      <c r="J15" s="19"/>
      <c r="O15" s="14"/>
    </row>
    <row r="16" spans="1:15" ht="15" x14ac:dyDescent="0.2">
      <c r="A16" s="15" t="s">
        <v>17</v>
      </c>
      <c r="B16" s="16">
        <f t="shared" ref="B16:B19" si="7">ROUND(K16/12*$I$2,2)</f>
        <v>887.78</v>
      </c>
      <c r="C16" s="16">
        <f>ROUND((L16)/12*$I$2,2)</f>
        <v>0</v>
      </c>
      <c r="D16" s="16">
        <f>ROUND((B16+C16)/12,2)</f>
        <v>73.98</v>
      </c>
      <c r="E16" s="16">
        <f>ROUND(M16/12*$I$2,2)</f>
        <v>68.599999999999994</v>
      </c>
      <c r="F16" s="16">
        <f>SUM(B16:E16)</f>
        <v>1030.3599999999999</v>
      </c>
      <c r="G16" s="16">
        <f t="shared" ref="G16:G18" si="8">ROUND(F16-F16*2%,2)</f>
        <v>1009.75</v>
      </c>
      <c r="H16" s="17">
        <f t="shared" ref="H16:H18" si="9">ROUND((F16)*40.38%+(F16)*1.61%,2)</f>
        <v>432.65</v>
      </c>
      <c r="I16" s="18">
        <f t="shared" ref="I16" si="10">G16+H16</f>
        <v>1442.4</v>
      </c>
      <c r="J16" s="19"/>
      <c r="K16" s="32">
        <v>21306.79</v>
      </c>
      <c r="L16" s="33"/>
      <c r="M16" s="33">
        <v>1646.36</v>
      </c>
      <c r="N16" s="20"/>
      <c r="O16" s="21"/>
    </row>
    <row r="17" spans="1:15" ht="15" x14ac:dyDescent="0.2">
      <c r="A17" s="15" t="s">
        <v>18</v>
      </c>
      <c r="B17" s="16">
        <f t="shared" si="7"/>
        <v>931.59</v>
      </c>
      <c r="C17" s="16">
        <f t="shared" ref="C17:C19" si="11">ROUND((L17)/12*$I$2,2)</f>
        <v>0</v>
      </c>
      <c r="D17" s="16">
        <f t="shared" ref="D17:D19" si="12">ROUND((B17+C17)/12,2)</f>
        <v>77.63</v>
      </c>
      <c r="E17" s="16">
        <f>ROUND(M17/12*$I$2,2)</f>
        <v>91.13</v>
      </c>
      <c r="F17" s="16">
        <f>SUM(B17:E17)</f>
        <v>1100.3499999999999</v>
      </c>
      <c r="G17" s="16">
        <f t="shared" si="8"/>
        <v>1078.3399999999999</v>
      </c>
      <c r="H17" s="17">
        <f t="shared" si="9"/>
        <v>462.04</v>
      </c>
      <c r="I17" s="18">
        <f>G17+H17</f>
        <v>1540.3799999999999</v>
      </c>
      <c r="J17" s="19"/>
      <c r="K17" s="32">
        <v>22358.04</v>
      </c>
      <c r="L17" s="33"/>
      <c r="M17" s="33">
        <v>2187.17</v>
      </c>
      <c r="N17" s="20"/>
      <c r="O17" s="21"/>
    </row>
    <row r="18" spans="1:15" ht="15" x14ac:dyDescent="0.2">
      <c r="A18" s="15" t="s">
        <v>19</v>
      </c>
      <c r="B18" s="16">
        <f t="shared" si="7"/>
        <v>1062.74</v>
      </c>
      <c r="C18" s="16">
        <f t="shared" si="11"/>
        <v>0</v>
      </c>
      <c r="D18" s="16">
        <f t="shared" si="12"/>
        <v>88.56</v>
      </c>
      <c r="E18" s="16">
        <f>ROUND(M18/12*$I$2,2)</f>
        <v>126.1</v>
      </c>
      <c r="F18" s="16">
        <f>SUM(B18:E18)</f>
        <v>1277.3999999999999</v>
      </c>
      <c r="G18" s="16">
        <f t="shared" si="8"/>
        <v>1251.8499999999999</v>
      </c>
      <c r="H18" s="17">
        <f t="shared" si="9"/>
        <v>536.38</v>
      </c>
      <c r="I18" s="18">
        <f>G18+H18</f>
        <v>1788.23</v>
      </c>
      <c r="J18" s="19"/>
      <c r="K18" s="32">
        <v>25505.79</v>
      </c>
      <c r="L18" s="33"/>
      <c r="M18" s="33">
        <v>3026.46</v>
      </c>
      <c r="N18" s="20"/>
      <c r="O18" s="21"/>
    </row>
    <row r="19" spans="1:15" ht="15" x14ac:dyDescent="0.2">
      <c r="A19" s="15" t="s">
        <v>20</v>
      </c>
      <c r="B19" s="16">
        <f t="shared" si="7"/>
        <v>1195.57</v>
      </c>
      <c r="C19" s="16">
        <f t="shared" si="11"/>
        <v>0</v>
      </c>
      <c r="D19" s="16">
        <f t="shared" si="12"/>
        <v>99.63</v>
      </c>
      <c r="E19" s="16">
        <f>ROUND(M19/12*$I$2,2)</f>
        <v>149.05000000000001</v>
      </c>
      <c r="F19" s="16">
        <f>SUM(B19:E19)</f>
        <v>1444.2499999999998</v>
      </c>
      <c r="G19" s="16">
        <f>ROUND(F19-F19*2%,2)</f>
        <v>1415.37</v>
      </c>
      <c r="H19" s="17">
        <f>ROUND((F19)*40.38%+(F19)*1.61%+((B19+C19)-(556.86*$I$2))*4.36%,2)</f>
        <v>646.42999999999995</v>
      </c>
      <c r="I19" s="18">
        <f>G19+H19</f>
        <v>2061.7999999999997</v>
      </c>
      <c r="J19" s="19"/>
      <c r="K19" s="32">
        <v>28693.65</v>
      </c>
      <c r="L19" s="33"/>
      <c r="M19" s="33">
        <v>3577.2</v>
      </c>
      <c r="N19" s="20"/>
      <c r="O19" s="21"/>
    </row>
    <row r="20" spans="1:15" ht="15" x14ac:dyDescent="0.2">
      <c r="B20" s="22"/>
      <c r="C20" s="22"/>
      <c r="D20" s="22"/>
      <c r="E20" s="22"/>
      <c r="F20" s="22"/>
      <c r="G20" s="22"/>
      <c r="H20" s="23"/>
      <c r="I20" s="19"/>
      <c r="J20" s="19"/>
      <c r="K20" s="24"/>
      <c r="L20" s="24"/>
      <c r="M20" s="24"/>
      <c r="N20" s="20"/>
      <c r="O20" s="21"/>
    </row>
    <row r="21" spans="1:15" ht="29.25" customHeight="1" x14ac:dyDescent="0.25">
      <c r="B21" s="4"/>
      <c r="C21" s="4"/>
      <c r="D21" s="4"/>
      <c r="F21" s="7"/>
      <c r="G21" s="4"/>
      <c r="I21" s="34" t="s">
        <v>37</v>
      </c>
      <c r="J21" s="19"/>
      <c r="K21" s="3"/>
      <c r="L21" s="4"/>
      <c r="M21" s="4"/>
      <c r="N21" s="4"/>
    </row>
    <row r="22" spans="1:15" ht="38.25" x14ac:dyDescent="0.25">
      <c r="A22" s="8" t="s">
        <v>1</v>
      </c>
      <c r="B22" s="9" t="s">
        <v>2</v>
      </c>
      <c r="C22" s="9" t="s">
        <v>35</v>
      </c>
      <c r="D22" s="8" t="s">
        <v>4</v>
      </c>
      <c r="E22" s="9" t="s">
        <v>5</v>
      </c>
      <c r="F22" s="8" t="s">
        <v>6</v>
      </c>
      <c r="G22" s="9" t="s">
        <v>7</v>
      </c>
      <c r="H22" s="9" t="s">
        <v>8</v>
      </c>
      <c r="I22" s="9" t="s">
        <v>9</v>
      </c>
      <c r="J22" s="19"/>
      <c r="K22" s="10" t="s">
        <v>10</v>
      </c>
      <c r="L22" s="11" t="s">
        <v>3</v>
      </c>
      <c r="M22" s="10" t="s">
        <v>11</v>
      </c>
      <c r="N22" s="12"/>
    </row>
    <row r="23" spans="1:15" ht="9.75" customHeight="1" x14ac:dyDescent="0.25">
      <c r="B23" s="13"/>
      <c r="C23" s="13"/>
      <c r="D23" s="13"/>
      <c r="E23" s="13"/>
      <c r="F23" s="13"/>
      <c r="G23" s="13"/>
      <c r="H23" s="13"/>
      <c r="I23" s="13"/>
      <c r="J23" s="19"/>
      <c r="O23" s="14"/>
    </row>
    <row r="24" spans="1:15" ht="15" x14ac:dyDescent="0.2">
      <c r="A24" s="15" t="s">
        <v>17</v>
      </c>
      <c r="B24" s="16">
        <f t="shared" ref="B24:B27" si="13">ROUND(K24/12*$I$2,2)</f>
        <v>887.78</v>
      </c>
      <c r="C24" s="16">
        <f>ROUND((L24)/12*$I$2,2)</f>
        <v>5.33</v>
      </c>
      <c r="D24" s="16">
        <f>ROUND((B24+C24)/12,2)</f>
        <v>74.430000000000007</v>
      </c>
      <c r="E24" s="16">
        <f>ROUND(M24/12*$I$2,2)</f>
        <v>68.599999999999994</v>
      </c>
      <c r="F24" s="16">
        <f>SUM(B24:E24)</f>
        <v>1036.1399999999999</v>
      </c>
      <c r="G24" s="16">
        <f t="shared" ref="G24:G26" si="14">ROUND(F24-F24*2%,2)</f>
        <v>1015.42</v>
      </c>
      <c r="H24" s="17">
        <f t="shared" ref="H24:H26" si="15">ROUND((F24)*40.38%+(F24)*1.61%,2)</f>
        <v>435.08</v>
      </c>
      <c r="I24" s="18">
        <f t="shared" ref="I24" si="16">G24+H24</f>
        <v>1450.5</v>
      </c>
      <c r="J24" s="19"/>
      <c r="K24" s="32">
        <v>21306.79</v>
      </c>
      <c r="L24" s="33">
        <f>10.65*12</f>
        <v>127.80000000000001</v>
      </c>
      <c r="M24" s="33">
        <v>1646.36</v>
      </c>
      <c r="N24" s="20"/>
      <c r="O24" s="21"/>
    </row>
    <row r="25" spans="1:15" ht="15" x14ac:dyDescent="0.2">
      <c r="A25" s="15" t="s">
        <v>18</v>
      </c>
      <c r="B25" s="16">
        <f t="shared" si="13"/>
        <v>931.59</v>
      </c>
      <c r="C25" s="16">
        <f t="shared" ref="C25:C27" si="17">ROUND((L25)/12*$I$2,2)</f>
        <v>5.59</v>
      </c>
      <c r="D25" s="16">
        <f t="shared" ref="D25:D27" si="18">ROUND((B25+C25)/12,2)</f>
        <v>78.099999999999994</v>
      </c>
      <c r="E25" s="16">
        <f>ROUND(M25/12*$I$2,2)</f>
        <v>91.13</v>
      </c>
      <c r="F25" s="16">
        <f>SUM(B25:E25)</f>
        <v>1106.4100000000001</v>
      </c>
      <c r="G25" s="16">
        <f t="shared" si="14"/>
        <v>1084.28</v>
      </c>
      <c r="H25" s="17">
        <f t="shared" si="15"/>
        <v>464.58</v>
      </c>
      <c r="I25" s="18">
        <f>G25+H25</f>
        <v>1548.86</v>
      </c>
      <c r="J25" s="19"/>
      <c r="K25" s="32">
        <v>22358.04</v>
      </c>
      <c r="L25" s="33">
        <f>11.18*12</f>
        <v>134.16</v>
      </c>
      <c r="M25" s="33">
        <v>2187.17</v>
      </c>
      <c r="N25" s="20"/>
      <c r="O25" s="21"/>
    </row>
    <row r="26" spans="1:15" ht="15" x14ac:dyDescent="0.2">
      <c r="A26" s="15" t="s">
        <v>19</v>
      </c>
      <c r="B26" s="16">
        <f t="shared" si="13"/>
        <v>1062.74</v>
      </c>
      <c r="C26" s="16">
        <f t="shared" si="17"/>
        <v>6.38</v>
      </c>
      <c r="D26" s="16">
        <f t="shared" si="18"/>
        <v>89.09</v>
      </c>
      <c r="E26" s="16">
        <f>ROUND(M26/12*$I$2,2)</f>
        <v>126.1</v>
      </c>
      <c r="F26" s="16">
        <f>SUM(B26:E26)</f>
        <v>1284.31</v>
      </c>
      <c r="G26" s="16">
        <f t="shared" si="14"/>
        <v>1258.6199999999999</v>
      </c>
      <c r="H26" s="17">
        <f t="shared" si="15"/>
        <v>539.28</v>
      </c>
      <c r="I26" s="18">
        <f>G26+H26</f>
        <v>1797.8999999999999</v>
      </c>
      <c r="J26" s="19"/>
      <c r="K26" s="32">
        <v>25505.79</v>
      </c>
      <c r="L26" s="33">
        <f>12.75*12</f>
        <v>153</v>
      </c>
      <c r="M26" s="33">
        <v>3026.46</v>
      </c>
      <c r="N26" s="20"/>
      <c r="O26" s="21"/>
    </row>
    <row r="27" spans="1:15" ht="15" x14ac:dyDescent="0.2">
      <c r="A27" s="15" t="s">
        <v>20</v>
      </c>
      <c r="B27" s="16">
        <f t="shared" si="13"/>
        <v>1195.57</v>
      </c>
      <c r="C27" s="16">
        <f t="shared" si="17"/>
        <v>7.18</v>
      </c>
      <c r="D27" s="16">
        <f t="shared" si="18"/>
        <v>100.23</v>
      </c>
      <c r="E27" s="16">
        <f>ROUND(M27/12*$I$2,2)</f>
        <v>149.05000000000001</v>
      </c>
      <c r="F27" s="16">
        <f>SUM(B27:E27)</f>
        <v>1452.03</v>
      </c>
      <c r="G27" s="16">
        <f>ROUND(F27-F27*2%,2)</f>
        <v>1422.99</v>
      </c>
      <c r="H27" s="17">
        <f>ROUND((F27)*40.38%+(F27)*1.61%+((B27+C27)-(556.86*$I$2))*4.36%,2)</f>
        <v>650.01</v>
      </c>
      <c r="I27" s="18">
        <f>G27+H27</f>
        <v>2073</v>
      </c>
      <c r="J27" s="19"/>
      <c r="K27" s="32">
        <v>28693.65</v>
      </c>
      <c r="L27" s="33">
        <f>14.35*12</f>
        <v>172.2</v>
      </c>
      <c r="M27" s="33">
        <v>3577.2</v>
      </c>
      <c r="N27" s="20"/>
      <c r="O27" s="21"/>
    </row>
    <row r="29" spans="1:15" ht="29.25" customHeight="1" x14ac:dyDescent="0.25">
      <c r="B29" s="4"/>
      <c r="C29" s="4"/>
      <c r="D29" s="4"/>
      <c r="F29" s="7"/>
      <c r="G29" s="4"/>
      <c r="I29" s="34" t="s">
        <v>36</v>
      </c>
      <c r="J29" s="19"/>
      <c r="K29" s="3"/>
      <c r="L29" s="4"/>
      <c r="M29" s="4"/>
      <c r="N29" s="4"/>
    </row>
    <row r="30" spans="1:15" ht="38.25" x14ac:dyDescent="0.25">
      <c r="A30" s="8" t="s">
        <v>1</v>
      </c>
      <c r="B30" s="9" t="s">
        <v>2</v>
      </c>
      <c r="C30" s="9" t="s">
        <v>35</v>
      </c>
      <c r="D30" s="8" t="s">
        <v>4</v>
      </c>
      <c r="E30" s="9" t="s">
        <v>5</v>
      </c>
      <c r="F30" s="8" t="s">
        <v>6</v>
      </c>
      <c r="G30" s="9" t="s">
        <v>7</v>
      </c>
      <c r="H30" s="9" t="s">
        <v>8</v>
      </c>
      <c r="I30" s="9" t="s">
        <v>9</v>
      </c>
      <c r="J30" s="19"/>
      <c r="K30" s="10" t="s">
        <v>10</v>
      </c>
      <c r="L30" s="11" t="s">
        <v>3</v>
      </c>
      <c r="M30" s="10" t="s">
        <v>11</v>
      </c>
      <c r="N30" s="12"/>
    </row>
    <row r="31" spans="1:15" ht="9.75" customHeight="1" x14ac:dyDescent="0.25">
      <c r="B31" s="13"/>
      <c r="C31" s="13"/>
      <c r="D31" s="13"/>
      <c r="E31" s="13"/>
      <c r="F31" s="13"/>
      <c r="G31" s="13"/>
      <c r="H31" s="13"/>
      <c r="I31" s="13"/>
      <c r="J31" s="19"/>
      <c r="O31" s="14"/>
    </row>
    <row r="32" spans="1:15" ht="15" x14ac:dyDescent="0.2">
      <c r="A32" s="15" t="s">
        <v>17</v>
      </c>
      <c r="B32" s="16">
        <f t="shared" ref="B32:B35" si="19">ROUND(K32/12*$I$2,2)</f>
        <v>887.78</v>
      </c>
      <c r="C32" s="16">
        <f>ROUND((L32)/12*$I$2,2)</f>
        <v>8.8800000000000008</v>
      </c>
      <c r="D32" s="16">
        <f>ROUND((B32+C32)/12,2)</f>
        <v>74.72</v>
      </c>
      <c r="E32" s="16">
        <f>ROUND(M32/12*$I$2,2)</f>
        <v>68.599999999999994</v>
      </c>
      <c r="F32" s="16">
        <f>SUM(B32:E32)</f>
        <v>1039.98</v>
      </c>
      <c r="G32" s="16">
        <f t="shared" ref="G32:G34" si="20">ROUND(F32-F32*2%,2)</f>
        <v>1019.18</v>
      </c>
      <c r="H32" s="17">
        <f t="shared" ref="H32:H34" si="21">ROUND((F32)*40.38%+(F32)*1.61%,2)</f>
        <v>436.69</v>
      </c>
      <c r="I32" s="18">
        <f t="shared" ref="I32" si="22">G32+H32</f>
        <v>1455.87</v>
      </c>
      <c r="J32" s="19"/>
      <c r="K32" s="32">
        <v>21306.79</v>
      </c>
      <c r="L32" s="33">
        <f>17.76*12</f>
        <v>213.12</v>
      </c>
      <c r="M32" s="33">
        <v>1646.36</v>
      </c>
      <c r="N32" s="20"/>
      <c r="O32" s="21"/>
    </row>
    <row r="33" spans="1:15" ht="15" x14ac:dyDescent="0.2">
      <c r="A33" s="15" t="s">
        <v>18</v>
      </c>
      <c r="B33" s="16">
        <f t="shared" si="19"/>
        <v>931.59</v>
      </c>
      <c r="C33" s="16">
        <f t="shared" ref="C33:C35" si="23">ROUND((L33)/12*$I$2,2)</f>
        <v>9.32</v>
      </c>
      <c r="D33" s="16">
        <f t="shared" ref="D33:D35" si="24">ROUND((B33+C33)/12,2)</f>
        <v>78.41</v>
      </c>
      <c r="E33" s="16">
        <f>ROUND(M33/12*$I$2,2)</f>
        <v>91.13</v>
      </c>
      <c r="F33" s="16">
        <f>SUM(B33:E33)</f>
        <v>1110.45</v>
      </c>
      <c r="G33" s="16">
        <f t="shared" si="20"/>
        <v>1088.24</v>
      </c>
      <c r="H33" s="17">
        <f t="shared" si="21"/>
        <v>466.28</v>
      </c>
      <c r="I33" s="18">
        <f>G33+H33</f>
        <v>1554.52</v>
      </c>
      <c r="J33" s="19"/>
      <c r="K33" s="32">
        <v>22358.04</v>
      </c>
      <c r="L33" s="33">
        <f>18.63*12</f>
        <v>223.56</v>
      </c>
      <c r="M33" s="33">
        <v>2187.17</v>
      </c>
      <c r="N33" s="20"/>
      <c r="O33" s="21"/>
    </row>
    <row r="34" spans="1:15" ht="15" x14ac:dyDescent="0.2">
      <c r="A34" s="15" t="s">
        <v>19</v>
      </c>
      <c r="B34" s="16">
        <f t="shared" si="19"/>
        <v>1062.74</v>
      </c>
      <c r="C34" s="16">
        <f t="shared" si="23"/>
        <v>10.63</v>
      </c>
      <c r="D34" s="16">
        <f t="shared" si="24"/>
        <v>89.45</v>
      </c>
      <c r="E34" s="16">
        <f>ROUND(M34/12*$I$2,2)</f>
        <v>126.1</v>
      </c>
      <c r="F34" s="16">
        <f>SUM(B34:E34)</f>
        <v>1288.92</v>
      </c>
      <c r="G34" s="16">
        <f t="shared" si="20"/>
        <v>1263.1400000000001</v>
      </c>
      <c r="H34" s="17">
        <f t="shared" si="21"/>
        <v>541.22</v>
      </c>
      <c r="I34" s="18">
        <f>G34+H34</f>
        <v>1804.3600000000001</v>
      </c>
      <c r="J34" s="19"/>
      <c r="K34" s="32">
        <v>25505.79</v>
      </c>
      <c r="L34" s="33">
        <f>21.25*12</f>
        <v>255</v>
      </c>
      <c r="M34" s="33">
        <v>3026.46</v>
      </c>
      <c r="N34" s="20"/>
      <c r="O34" s="21"/>
    </row>
    <row r="35" spans="1:15" ht="15" x14ac:dyDescent="0.2">
      <c r="A35" s="15" t="s">
        <v>20</v>
      </c>
      <c r="B35" s="16">
        <f t="shared" si="19"/>
        <v>1195.57</v>
      </c>
      <c r="C35" s="16">
        <f t="shared" si="23"/>
        <v>11.96</v>
      </c>
      <c r="D35" s="16">
        <f t="shared" si="24"/>
        <v>100.63</v>
      </c>
      <c r="E35" s="16">
        <f>ROUND(M35/12*$I$2,2)</f>
        <v>149.05000000000001</v>
      </c>
      <c r="F35" s="16">
        <f>SUM(B35:E35)</f>
        <v>1457.2099999999998</v>
      </c>
      <c r="G35" s="16">
        <f>ROUND(F35-F35*2%,2)</f>
        <v>1428.07</v>
      </c>
      <c r="H35" s="17">
        <f>ROUND((F35)*40.38%+(F35)*1.61%+((B35+C35)-(556.86*$I$2))*4.36%,2)</f>
        <v>652.39</v>
      </c>
      <c r="I35" s="18">
        <f>G35+H35</f>
        <v>2080.46</v>
      </c>
      <c r="J35" s="19"/>
      <c r="K35" s="32">
        <v>28693.65</v>
      </c>
      <c r="L35" s="33">
        <f>23.91*12</f>
        <v>286.92</v>
      </c>
      <c r="M35" s="33">
        <v>3577.2</v>
      </c>
      <c r="N35" s="20"/>
      <c r="O35" s="21"/>
    </row>
    <row r="39" spans="1:15" ht="15" x14ac:dyDescent="0.2">
      <c r="A39" s="29" t="s">
        <v>21</v>
      </c>
      <c r="B39" s="31" t="s">
        <v>34</v>
      </c>
      <c r="C39" s="25"/>
      <c r="D39" s="26"/>
      <c r="E39" s="25"/>
      <c r="L39" s="27"/>
      <c r="M39" s="27"/>
      <c r="N39" s="28"/>
      <c r="O39" s="21"/>
    </row>
    <row r="40" spans="1:15" x14ac:dyDescent="0.2">
      <c r="A40" s="25"/>
      <c r="B40" s="25"/>
      <c r="C40" s="25"/>
      <c r="D40" s="29" t="s">
        <v>29</v>
      </c>
      <c r="E40" s="25" t="s">
        <v>22</v>
      </c>
      <c r="J40" s="2" t="s">
        <v>27</v>
      </c>
    </row>
    <row r="41" spans="1:15" x14ac:dyDescent="0.2">
      <c r="A41" s="25"/>
      <c r="B41" s="25"/>
      <c r="C41" s="25"/>
      <c r="D41" s="29" t="s">
        <v>30</v>
      </c>
      <c r="E41" s="25" t="s">
        <v>23</v>
      </c>
    </row>
    <row r="42" spans="1:15" x14ac:dyDescent="0.2">
      <c r="A42" s="25"/>
      <c r="B42" s="25"/>
      <c r="C42" s="25"/>
      <c r="D42" s="29" t="s">
        <v>31</v>
      </c>
      <c r="E42" s="25" t="s">
        <v>24</v>
      </c>
    </row>
    <row r="43" spans="1:15" x14ac:dyDescent="0.2">
      <c r="A43" s="25"/>
      <c r="B43" s="25"/>
      <c r="C43" s="25"/>
      <c r="D43" s="29" t="s">
        <v>32</v>
      </c>
      <c r="E43" s="25" t="s">
        <v>25</v>
      </c>
    </row>
    <row r="44" spans="1:15" x14ac:dyDescent="0.2">
      <c r="A44" s="25"/>
      <c r="B44" s="25"/>
      <c r="C44" s="25"/>
      <c r="D44" s="29" t="s">
        <v>33</v>
      </c>
      <c r="E44" s="25" t="s">
        <v>26</v>
      </c>
    </row>
  </sheetData>
  <mergeCells count="1">
    <mergeCell ref="A1:F1"/>
  </mergeCells>
  <printOptions horizontalCentered="1"/>
  <pageMargins left="0" right="0" top="0.98425196850393704" bottom="0.98425196850393704" header="0.51181102362204722" footer="0.51181102362204722"/>
  <pageSetup paperSize="9" scale="61" orientation="landscape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NM BU 100%</vt:lpstr>
      <vt:lpstr>NM BU 83,33%</vt:lpstr>
      <vt:lpstr>NM BU 66,66%</vt:lpstr>
      <vt:lpstr>NM BU 50%</vt:lpstr>
    </vt:vector>
  </TitlesOfParts>
  <Company>Universita' degli Studi di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Rosangela Riva</dc:creator>
  <cp:lastModifiedBy>Rosangela Riva</cp:lastModifiedBy>
  <dcterms:created xsi:type="dcterms:W3CDTF">2024-04-16T15:38:26Z</dcterms:created>
  <dcterms:modified xsi:type="dcterms:W3CDTF">2026-02-23T14:12:15Z</dcterms:modified>
</cp:coreProperties>
</file>