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mo.unifi.it\FD_BILANCIO_E_FONDI\Bilancio di previsione Personale\TABELLE STIPENDIALI\CCNL 23_12_2025\"/>
    </mc:Choice>
  </mc:AlternateContent>
  <xr:revisionPtr revIDLastSave="0" documentId="13_ncr:1_{F8E47D85-26A9-4150-939E-D0D6351DE8E2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NM FinDiv 100%" sheetId="12" r:id="rId1"/>
    <sheet name="NM FinDiv 83,33%" sheetId="32" r:id="rId2"/>
    <sheet name="NM FinDiv 66,66%" sheetId="33" r:id="rId3"/>
    <sheet name="NM FinDiv 50%" sheetId="3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34" l="1"/>
  <c r="G35" i="34"/>
  <c r="E35" i="34"/>
  <c r="C35" i="34"/>
  <c r="B35" i="34"/>
  <c r="P34" i="34"/>
  <c r="I34" i="34"/>
  <c r="H34" i="34"/>
  <c r="E34" i="34"/>
  <c r="C34" i="34"/>
  <c r="B34" i="34"/>
  <c r="P33" i="34"/>
  <c r="C33" i="34" s="1"/>
  <c r="I33" i="34"/>
  <c r="H33" i="34"/>
  <c r="E33" i="34"/>
  <c r="B33" i="34"/>
  <c r="D33" i="34" s="1"/>
  <c r="P32" i="34"/>
  <c r="I32" i="34"/>
  <c r="H32" i="34"/>
  <c r="E32" i="34"/>
  <c r="C32" i="34"/>
  <c r="B32" i="34"/>
  <c r="P27" i="34"/>
  <c r="G27" i="34"/>
  <c r="E27" i="34"/>
  <c r="C27" i="34"/>
  <c r="B27" i="34"/>
  <c r="P26" i="34"/>
  <c r="C26" i="34" s="1"/>
  <c r="I26" i="34"/>
  <c r="H26" i="34"/>
  <c r="E26" i="34"/>
  <c r="B26" i="34"/>
  <c r="D26" i="34" s="1"/>
  <c r="P25" i="34"/>
  <c r="I25" i="34"/>
  <c r="H25" i="34"/>
  <c r="E25" i="34"/>
  <c r="C25" i="34"/>
  <c r="B25" i="34"/>
  <c r="D25" i="34" s="1"/>
  <c r="P24" i="34"/>
  <c r="C24" i="34" s="1"/>
  <c r="I24" i="34"/>
  <c r="H24" i="34"/>
  <c r="E24" i="34"/>
  <c r="B24" i="34"/>
  <c r="G19" i="34"/>
  <c r="E19" i="34"/>
  <c r="C19" i="34"/>
  <c r="B19" i="34"/>
  <c r="D19" i="34" s="1"/>
  <c r="I18" i="34"/>
  <c r="H18" i="34"/>
  <c r="E18" i="34"/>
  <c r="C18" i="34"/>
  <c r="D18" i="34" s="1"/>
  <c r="B18" i="34"/>
  <c r="I17" i="34"/>
  <c r="H17" i="34"/>
  <c r="E17" i="34"/>
  <c r="C17" i="34"/>
  <c r="B17" i="34"/>
  <c r="D17" i="34" s="1"/>
  <c r="I16" i="34"/>
  <c r="H16" i="34"/>
  <c r="E16" i="34"/>
  <c r="C16" i="34"/>
  <c r="B16" i="34"/>
  <c r="G11" i="34"/>
  <c r="E11" i="34"/>
  <c r="B11" i="34"/>
  <c r="D11" i="34" s="1"/>
  <c r="F11" i="34" s="1"/>
  <c r="I10" i="34"/>
  <c r="H10" i="34"/>
  <c r="E10" i="34"/>
  <c r="B10" i="34"/>
  <c r="D10" i="34" s="1"/>
  <c r="I9" i="34"/>
  <c r="H9" i="34"/>
  <c r="E9" i="34"/>
  <c r="D9" i="34"/>
  <c r="F9" i="34" s="1"/>
  <c r="J9" i="34" s="1"/>
  <c r="B9" i="34"/>
  <c r="I8" i="34"/>
  <c r="H8" i="34"/>
  <c r="E8" i="34"/>
  <c r="B8" i="34"/>
  <c r="I7" i="34"/>
  <c r="H7" i="34"/>
  <c r="E7" i="34"/>
  <c r="B7" i="34"/>
  <c r="D7" i="34" s="1"/>
  <c r="F7" i="34" s="1"/>
  <c r="P35" i="33"/>
  <c r="G35" i="33"/>
  <c r="E35" i="33"/>
  <c r="C35" i="33"/>
  <c r="D35" i="33" s="1"/>
  <c r="B35" i="33"/>
  <c r="P34" i="33"/>
  <c r="I34" i="33"/>
  <c r="H34" i="33"/>
  <c r="E34" i="33"/>
  <c r="C34" i="33"/>
  <c r="B34" i="33"/>
  <c r="P33" i="33"/>
  <c r="I33" i="33"/>
  <c r="H33" i="33"/>
  <c r="E33" i="33"/>
  <c r="C33" i="33"/>
  <c r="B33" i="33"/>
  <c r="P32" i="33"/>
  <c r="C32" i="33" s="1"/>
  <c r="I32" i="33"/>
  <c r="H32" i="33"/>
  <c r="E32" i="33"/>
  <c r="B32" i="33"/>
  <c r="P27" i="33"/>
  <c r="G27" i="33"/>
  <c r="E27" i="33"/>
  <c r="C27" i="33"/>
  <c r="B27" i="33"/>
  <c r="P26" i="33"/>
  <c r="I26" i="33"/>
  <c r="H26" i="33"/>
  <c r="E26" i="33"/>
  <c r="C26" i="33"/>
  <c r="B26" i="33"/>
  <c r="P25" i="33"/>
  <c r="C25" i="33" s="1"/>
  <c r="I25" i="33"/>
  <c r="H25" i="33"/>
  <c r="E25" i="33"/>
  <c r="B25" i="33"/>
  <c r="P24" i="33"/>
  <c r="I24" i="33"/>
  <c r="H24" i="33"/>
  <c r="E24" i="33"/>
  <c r="C24" i="33"/>
  <c r="B24" i="33"/>
  <c r="G19" i="33"/>
  <c r="E19" i="33"/>
  <c r="C19" i="33"/>
  <c r="D19" i="33" s="1"/>
  <c r="B19" i="33"/>
  <c r="I18" i="33"/>
  <c r="H18" i="33"/>
  <c r="E18" i="33"/>
  <c r="C18" i="33"/>
  <c r="B18" i="33"/>
  <c r="I17" i="33"/>
  <c r="H17" i="33"/>
  <c r="E17" i="33"/>
  <c r="C17" i="33"/>
  <c r="B17" i="33"/>
  <c r="D17" i="33" s="1"/>
  <c r="I16" i="33"/>
  <c r="H16" i="33"/>
  <c r="E16" i="33"/>
  <c r="C16" i="33"/>
  <c r="B16" i="33"/>
  <c r="G11" i="33"/>
  <c r="E11" i="33"/>
  <c r="B11" i="33"/>
  <c r="I10" i="33"/>
  <c r="H10" i="33"/>
  <c r="E10" i="33"/>
  <c r="D10" i="33"/>
  <c r="B10" i="33"/>
  <c r="I9" i="33"/>
  <c r="H9" i="33"/>
  <c r="E9" i="33"/>
  <c r="F9" i="33" s="1"/>
  <c r="D9" i="33"/>
  <c r="B9" i="33"/>
  <c r="I8" i="33"/>
  <c r="H8" i="33"/>
  <c r="E8" i="33"/>
  <c r="B8" i="33"/>
  <c r="D8" i="33" s="1"/>
  <c r="F8" i="33" s="1"/>
  <c r="I7" i="33"/>
  <c r="H7" i="33"/>
  <c r="E7" i="33"/>
  <c r="B7" i="33"/>
  <c r="P35" i="32"/>
  <c r="G35" i="32"/>
  <c r="E35" i="32"/>
  <c r="C35" i="32"/>
  <c r="D35" i="32" s="1"/>
  <c r="F35" i="32" s="1"/>
  <c r="B35" i="32"/>
  <c r="P34" i="32"/>
  <c r="I34" i="32"/>
  <c r="H34" i="32"/>
  <c r="E34" i="32"/>
  <c r="C34" i="32"/>
  <c r="B34" i="32"/>
  <c r="P33" i="32"/>
  <c r="C33" i="32" s="1"/>
  <c r="I33" i="32"/>
  <c r="H33" i="32"/>
  <c r="E33" i="32"/>
  <c r="B33" i="32"/>
  <c r="D33" i="32" s="1"/>
  <c r="P32" i="32"/>
  <c r="I32" i="32"/>
  <c r="H32" i="32"/>
  <c r="E32" i="32"/>
  <c r="C32" i="32"/>
  <c r="B32" i="32"/>
  <c r="P27" i="32"/>
  <c r="G27" i="32"/>
  <c r="E27" i="32"/>
  <c r="C27" i="32"/>
  <c r="B27" i="32"/>
  <c r="P26" i="32"/>
  <c r="C26" i="32" s="1"/>
  <c r="I26" i="32"/>
  <c r="H26" i="32"/>
  <c r="E26" i="32"/>
  <c r="B26" i="32"/>
  <c r="D26" i="32" s="1"/>
  <c r="P25" i="32"/>
  <c r="I25" i="32"/>
  <c r="H25" i="32"/>
  <c r="E25" i="32"/>
  <c r="C25" i="32"/>
  <c r="B25" i="32"/>
  <c r="P24" i="32"/>
  <c r="C24" i="32" s="1"/>
  <c r="I24" i="32"/>
  <c r="H24" i="32"/>
  <c r="E24" i="32"/>
  <c r="B24" i="32"/>
  <c r="G19" i="32"/>
  <c r="E19" i="32"/>
  <c r="C19" i="32"/>
  <c r="B19" i="32"/>
  <c r="I18" i="32"/>
  <c r="H18" i="32"/>
  <c r="E18" i="32"/>
  <c r="C18" i="32"/>
  <c r="B18" i="32"/>
  <c r="I17" i="32"/>
  <c r="H17" i="32"/>
  <c r="E17" i="32"/>
  <c r="C17" i="32"/>
  <c r="B17" i="32"/>
  <c r="I16" i="32"/>
  <c r="H16" i="32"/>
  <c r="E16" i="32"/>
  <c r="C16" i="32"/>
  <c r="B16" i="32"/>
  <c r="G11" i="32"/>
  <c r="E11" i="32"/>
  <c r="B11" i="32"/>
  <c r="D11" i="32" s="1"/>
  <c r="F11" i="32" s="1"/>
  <c r="I10" i="32"/>
  <c r="H10" i="32"/>
  <c r="E10" i="32"/>
  <c r="B10" i="32"/>
  <c r="D10" i="32" s="1"/>
  <c r="I9" i="32"/>
  <c r="H9" i="32"/>
  <c r="E9" i="32"/>
  <c r="B9" i="32"/>
  <c r="D9" i="32" s="1"/>
  <c r="I8" i="32"/>
  <c r="H8" i="32"/>
  <c r="E8" i="32"/>
  <c r="B8" i="32"/>
  <c r="I7" i="32"/>
  <c r="H7" i="32"/>
  <c r="E7" i="32"/>
  <c r="D7" i="32"/>
  <c r="F7" i="32" s="1"/>
  <c r="B7" i="32"/>
  <c r="G19" i="12"/>
  <c r="E19" i="12"/>
  <c r="C19" i="12"/>
  <c r="B19" i="12"/>
  <c r="D19" i="12" s="1"/>
  <c r="I18" i="12"/>
  <c r="H18" i="12"/>
  <c r="E18" i="12"/>
  <c r="C18" i="12"/>
  <c r="B18" i="12"/>
  <c r="D18" i="12" s="1"/>
  <c r="C17" i="12"/>
  <c r="I17" i="12"/>
  <c r="H17" i="12"/>
  <c r="E17" i="12"/>
  <c r="B17" i="12"/>
  <c r="I16" i="12"/>
  <c r="H16" i="12"/>
  <c r="E16" i="12"/>
  <c r="C16" i="12"/>
  <c r="D16" i="12" s="1"/>
  <c r="B16" i="12"/>
  <c r="G35" i="12"/>
  <c r="G27" i="12"/>
  <c r="G11" i="12"/>
  <c r="B32" i="12"/>
  <c r="B25" i="12"/>
  <c r="B9" i="12"/>
  <c r="P35" i="12"/>
  <c r="C35" i="12" s="1"/>
  <c r="P34" i="12"/>
  <c r="C34" i="12" s="1"/>
  <c r="P33" i="12"/>
  <c r="P32" i="12"/>
  <c r="C32" i="12" s="1"/>
  <c r="E35" i="12"/>
  <c r="B35" i="12"/>
  <c r="I34" i="12"/>
  <c r="H34" i="12"/>
  <c r="E34" i="12"/>
  <c r="B34" i="12"/>
  <c r="C33" i="12"/>
  <c r="I33" i="12"/>
  <c r="H33" i="12"/>
  <c r="E33" i="12"/>
  <c r="B33" i="12"/>
  <c r="I32" i="12"/>
  <c r="H32" i="12"/>
  <c r="E32" i="12"/>
  <c r="P27" i="12"/>
  <c r="C27" i="12" s="1"/>
  <c r="P26" i="12"/>
  <c r="C26" i="12" s="1"/>
  <c r="P25" i="12"/>
  <c r="C25" i="12" s="1"/>
  <c r="P24" i="12"/>
  <c r="C24" i="12" s="1"/>
  <c r="D24" i="32" l="1"/>
  <c r="D19" i="32"/>
  <c r="F9" i="32"/>
  <c r="J9" i="32" s="1"/>
  <c r="D17" i="32"/>
  <c r="F17" i="32" s="1"/>
  <c r="D25" i="32"/>
  <c r="F25" i="32" s="1"/>
  <c r="D32" i="32"/>
  <c r="F32" i="32" s="1"/>
  <c r="F24" i="32"/>
  <c r="K24" i="32" s="1"/>
  <c r="F25" i="33"/>
  <c r="K25" i="33" s="1"/>
  <c r="D25" i="33"/>
  <c r="D32" i="33"/>
  <c r="F32" i="33" s="1"/>
  <c r="D24" i="33"/>
  <c r="F24" i="33" s="1"/>
  <c r="F10" i="33"/>
  <c r="D16" i="33"/>
  <c r="F19" i="33"/>
  <c r="J19" i="33" s="1"/>
  <c r="L19" i="33" s="1"/>
  <c r="D26" i="33"/>
  <c r="F26" i="33" s="1"/>
  <c r="D33" i="33"/>
  <c r="F33" i="33" s="1"/>
  <c r="F35" i="33"/>
  <c r="F17" i="33"/>
  <c r="J17" i="33" s="1"/>
  <c r="L17" i="33" s="1"/>
  <c r="D16" i="34"/>
  <c r="F16" i="34" s="1"/>
  <c r="D32" i="34"/>
  <c r="F32" i="34" s="1"/>
  <c r="F18" i="34"/>
  <c r="K11" i="34"/>
  <c r="J11" i="34"/>
  <c r="K7" i="34"/>
  <c r="J7" i="34"/>
  <c r="K18" i="34"/>
  <c r="J18" i="34"/>
  <c r="L18" i="34" s="1"/>
  <c r="K9" i="34"/>
  <c r="L9" i="34" s="1"/>
  <c r="D24" i="34"/>
  <c r="F24" i="34" s="1"/>
  <c r="F26" i="34"/>
  <c r="F33" i="34"/>
  <c r="D35" i="34"/>
  <c r="F35" i="34" s="1"/>
  <c r="D8" i="34"/>
  <c r="F8" i="34" s="1"/>
  <c r="F10" i="34"/>
  <c r="F17" i="34"/>
  <c r="F19" i="34"/>
  <c r="F25" i="34"/>
  <c r="D27" i="34"/>
  <c r="F27" i="34" s="1"/>
  <c r="D34" i="34"/>
  <c r="F34" i="34" s="1"/>
  <c r="J8" i="33"/>
  <c r="K8" i="33"/>
  <c r="J25" i="33"/>
  <c r="J10" i="33"/>
  <c r="L10" i="33" s="1"/>
  <c r="K10" i="33"/>
  <c r="K19" i="33"/>
  <c r="K35" i="33"/>
  <c r="J35" i="33"/>
  <c r="J9" i="33"/>
  <c r="K9" i="33"/>
  <c r="F11" i="33"/>
  <c r="K17" i="33"/>
  <c r="F16" i="33"/>
  <c r="D7" i="33"/>
  <c r="F7" i="33" s="1"/>
  <c r="D18" i="33"/>
  <c r="F18" i="33" s="1"/>
  <c r="D27" i="33"/>
  <c r="F27" i="33" s="1"/>
  <c r="D34" i="33"/>
  <c r="F34" i="33" s="1"/>
  <c r="D11" i="33"/>
  <c r="K11" i="32"/>
  <c r="J11" i="32"/>
  <c r="K7" i="32"/>
  <c r="J7" i="32"/>
  <c r="L7" i="32" s="1"/>
  <c r="F19" i="32"/>
  <c r="F34" i="32"/>
  <c r="K35" i="32"/>
  <c r="J35" i="32"/>
  <c r="F26" i="32"/>
  <c r="F33" i="32"/>
  <c r="D8" i="32"/>
  <c r="F8" i="32" s="1"/>
  <c r="F10" i="32"/>
  <c r="D16" i="32"/>
  <c r="F16" i="32" s="1"/>
  <c r="D18" i="32"/>
  <c r="F18" i="32" s="1"/>
  <c r="D27" i="32"/>
  <c r="F27" i="32" s="1"/>
  <c r="D34" i="32"/>
  <c r="K9" i="32"/>
  <c r="L9" i="32" s="1"/>
  <c r="D17" i="12"/>
  <c r="F17" i="12"/>
  <c r="K17" i="12" s="1"/>
  <c r="F16" i="12"/>
  <c r="J16" i="12" s="1"/>
  <c r="K16" i="12"/>
  <c r="J17" i="12"/>
  <c r="F19" i="12"/>
  <c r="F18" i="12"/>
  <c r="D32" i="12"/>
  <c r="F32" i="12" s="1"/>
  <c r="K32" i="12" s="1"/>
  <c r="D33" i="12"/>
  <c r="F33" i="12" s="1"/>
  <c r="D35" i="12"/>
  <c r="F35" i="12" s="1"/>
  <c r="D34" i="12"/>
  <c r="F34" i="12" s="1"/>
  <c r="K32" i="32" l="1"/>
  <c r="J32" i="32"/>
  <c r="L32" i="32" s="1"/>
  <c r="K25" i="32"/>
  <c r="J25" i="32"/>
  <c r="L25" i="32" s="1"/>
  <c r="J24" i="32"/>
  <c r="L24" i="32" s="1"/>
  <c r="L35" i="32"/>
  <c r="K32" i="33"/>
  <c r="J32" i="33"/>
  <c r="L25" i="33"/>
  <c r="L9" i="33"/>
  <c r="J32" i="34"/>
  <c r="L32" i="34" s="1"/>
  <c r="K32" i="34"/>
  <c r="K16" i="34"/>
  <c r="J16" i="34"/>
  <c r="L16" i="34" s="1"/>
  <c r="L7" i="34"/>
  <c r="K35" i="34"/>
  <c r="J35" i="34"/>
  <c r="L35" i="34" s="1"/>
  <c r="K27" i="34"/>
  <c r="J27" i="34"/>
  <c r="K8" i="34"/>
  <c r="J8" i="34"/>
  <c r="L8" i="34" s="1"/>
  <c r="K24" i="34"/>
  <c r="J24" i="34"/>
  <c r="L24" i="34" s="1"/>
  <c r="K34" i="34"/>
  <c r="J34" i="34"/>
  <c r="L34" i="34" s="1"/>
  <c r="K25" i="34"/>
  <c r="J25" i="34"/>
  <c r="L25" i="34" s="1"/>
  <c r="J19" i="34"/>
  <c r="K19" i="34"/>
  <c r="K17" i="34"/>
  <c r="J17" i="34"/>
  <c r="J33" i="34"/>
  <c r="K33" i="34"/>
  <c r="K10" i="34"/>
  <c r="J10" i="34"/>
  <c r="L10" i="34" s="1"/>
  <c r="J26" i="34"/>
  <c r="K26" i="34"/>
  <c r="L11" i="34"/>
  <c r="K18" i="33"/>
  <c r="J18" i="33"/>
  <c r="K34" i="33"/>
  <c r="J34" i="33"/>
  <c r="K27" i="33"/>
  <c r="J27" i="33"/>
  <c r="J33" i="33"/>
  <c r="K33" i="33"/>
  <c r="L35" i="33"/>
  <c r="L8" i="33"/>
  <c r="K16" i="33"/>
  <c r="J16" i="33"/>
  <c r="J11" i="33"/>
  <c r="K11" i="33"/>
  <c r="K7" i="33"/>
  <c r="J7" i="33"/>
  <c r="J26" i="33"/>
  <c r="K26" i="33"/>
  <c r="K24" i="33"/>
  <c r="J24" i="33"/>
  <c r="L32" i="33"/>
  <c r="K18" i="32"/>
  <c r="J18" i="32"/>
  <c r="K27" i="32"/>
  <c r="J27" i="32"/>
  <c r="J10" i="32"/>
  <c r="K10" i="32"/>
  <c r="K8" i="32"/>
  <c r="J8" i="32"/>
  <c r="K17" i="32"/>
  <c r="J17" i="32"/>
  <c r="J33" i="32"/>
  <c r="K33" i="32"/>
  <c r="K34" i="32"/>
  <c r="J34" i="32"/>
  <c r="J19" i="32"/>
  <c r="K19" i="32"/>
  <c r="K16" i="32"/>
  <c r="J16" i="32"/>
  <c r="J26" i="32"/>
  <c r="K26" i="32"/>
  <c r="L11" i="32"/>
  <c r="L17" i="12"/>
  <c r="L16" i="12"/>
  <c r="K18" i="12"/>
  <c r="J18" i="12"/>
  <c r="L18" i="12" s="1"/>
  <c r="K19" i="12"/>
  <c r="J19" i="12"/>
  <c r="L19" i="12" s="1"/>
  <c r="K33" i="12"/>
  <c r="J33" i="12"/>
  <c r="J32" i="12"/>
  <c r="L32" i="12" s="1"/>
  <c r="K34" i="12"/>
  <c r="J34" i="12"/>
  <c r="K35" i="12"/>
  <c r="J35" i="12"/>
  <c r="L8" i="32" l="1"/>
  <c r="L27" i="32"/>
  <c r="L16" i="32"/>
  <c r="L34" i="32"/>
  <c r="L17" i="32"/>
  <c r="L18" i="32"/>
  <c r="L33" i="33"/>
  <c r="L27" i="33"/>
  <c r="L18" i="33"/>
  <c r="L17" i="34"/>
  <c r="L27" i="34"/>
  <c r="L33" i="34"/>
  <c r="L26" i="34"/>
  <c r="L19" i="34"/>
  <c r="L26" i="33"/>
  <c r="L11" i="33"/>
  <c r="L24" i="33"/>
  <c r="L7" i="33"/>
  <c r="L16" i="33"/>
  <c r="L34" i="33"/>
  <c r="L26" i="32"/>
  <c r="L19" i="32"/>
  <c r="L33" i="32"/>
  <c r="L10" i="32"/>
  <c r="L35" i="12"/>
  <c r="L33" i="12"/>
  <c r="L34" i="12"/>
  <c r="E27" i="12" l="1"/>
  <c r="B27" i="12"/>
  <c r="I26" i="12"/>
  <c r="H26" i="12"/>
  <c r="E26" i="12"/>
  <c r="B26" i="12"/>
  <c r="I25" i="12"/>
  <c r="H25" i="12"/>
  <c r="E25" i="12"/>
  <c r="I24" i="12"/>
  <c r="H24" i="12"/>
  <c r="E24" i="12"/>
  <c r="B24" i="12"/>
  <c r="D24" i="12" l="1"/>
  <c r="F24" i="12" s="1"/>
  <c r="K24" i="12" s="1"/>
  <c r="D26" i="12"/>
  <c r="F26" i="12" s="1"/>
  <c r="D25" i="12"/>
  <c r="F25" i="12" s="1"/>
  <c r="D27" i="12"/>
  <c r="F27" i="12" s="1"/>
  <c r="J24" i="12" l="1"/>
  <c r="L24" i="12" s="1"/>
  <c r="K27" i="12"/>
  <c r="J27" i="12"/>
  <c r="K25" i="12"/>
  <c r="J25" i="12"/>
  <c r="K26" i="12"/>
  <c r="J26" i="12"/>
  <c r="L25" i="12" l="1"/>
  <c r="L26" i="12"/>
  <c r="L27" i="12"/>
  <c r="I10" i="12"/>
  <c r="I9" i="12"/>
  <c r="I8" i="12"/>
  <c r="I7" i="12"/>
  <c r="H10" i="12" l="1"/>
  <c r="H9" i="12"/>
  <c r="H8" i="12"/>
  <c r="H7" i="12"/>
  <c r="E11" i="12"/>
  <c r="E10" i="12"/>
  <c r="E9" i="12"/>
  <c r="E8" i="12"/>
  <c r="E7" i="12"/>
  <c r="B11" i="12"/>
  <c r="B10" i="12"/>
  <c r="B8" i="12"/>
  <c r="B7" i="12"/>
  <c r="D10" i="12" l="1"/>
  <c r="D9" i="12"/>
  <c r="D8" i="12"/>
  <c r="F8" i="12" s="1"/>
  <c r="D7" i="12"/>
  <c r="F7" i="12" s="1"/>
  <c r="D11" i="12"/>
  <c r="K7" i="12" l="1"/>
  <c r="J7" i="12"/>
  <c r="K8" i="12"/>
  <c r="J8" i="12"/>
  <c r="F11" i="12"/>
  <c r="F10" i="12"/>
  <c r="F9" i="12"/>
  <c r="L7" i="12" l="1"/>
  <c r="L8" i="12"/>
  <c r="J9" i="12"/>
  <c r="K9" i="12"/>
  <c r="K10" i="12"/>
  <c r="J10" i="12"/>
  <c r="J11" i="12"/>
  <c r="K11" i="12"/>
  <c r="L10" i="12" l="1"/>
  <c r="L11" i="12"/>
  <c r="L9" i="12"/>
</calcChain>
</file>

<file path=xl/sharedStrings.xml><?xml version="1.0" encoding="utf-8"?>
<sst xmlns="http://schemas.openxmlformats.org/spreadsheetml/2006/main" count="396" uniqueCount="43">
  <si>
    <t>totale</t>
  </si>
  <si>
    <t>c1</t>
  </si>
  <si>
    <t>d1</t>
  </si>
  <si>
    <t>ep1</t>
  </si>
  <si>
    <t>TABELLE STIPENDI MENSILI  PERSONALE A TEMPO DETERMINATO</t>
  </si>
  <si>
    <t>IVC</t>
  </si>
  <si>
    <t>indenn. ateneo</t>
  </si>
  <si>
    <t>stip. base con IIS conglobata</t>
  </si>
  <si>
    <t>Valore annuo tabellare</t>
  </si>
  <si>
    <t>13 ma</t>
  </si>
  <si>
    <t>Indennità Accessoria Mensile</t>
  </si>
  <si>
    <t>costo mensile</t>
  </si>
  <si>
    <t>tot.lordo senza oneri</t>
  </si>
  <si>
    <t>Inq</t>
  </si>
  <si>
    <t>oneri *</t>
  </si>
  <si>
    <t>Indennità di Ateneo</t>
  </si>
  <si>
    <t>b1</t>
  </si>
  <si>
    <t>b3</t>
  </si>
  <si>
    <t>24,20% sul 100%</t>
  </si>
  <si>
    <t>7,68% solo su stipendio base e indennità di ateneo</t>
  </si>
  <si>
    <t>8,5% sul 100%</t>
  </si>
  <si>
    <t>1,61% sul 100%</t>
  </si>
  <si>
    <t>4,36% sul solo stipendio base (calcolato solo per la cat. EP)</t>
  </si>
  <si>
    <t>Performance Organizzativa e Individuale</t>
  </si>
  <si>
    <t xml:space="preserve">   COSTI PER PERSONALE su fondi RICERCA e FIN. DIVERSI INPDAP (uguali o superiori all'anno)</t>
  </si>
  <si>
    <t>Operatori</t>
  </si>
  <si>
    <t>Collaboratori</t>
  </si>
  <si>
    <t>Funzionari</t>
  </si>
  <si>
    <t>Elevate Professionalità</t>
  </si>
  <si>
    <t>*</t>
  </si>
  <si>
    <t xml:space="preserve">INPDAP TFR- 9,60% DELL'80%  DELLA RETRIBUZIONE: </t>
  </si>
  <si>
    <t xml:space="preserve">IRAP: </t>
  </si>
  <si>
    <t xml:space="preserve">INPS ASPI (EX DS): </t>
  </si>
  <si>
    <t xml:space="preserve">Maggiorazione 18% del contributo Fondo Pensione: </t>
  </si>
  <si>
    <t xml:space="preserve">INPDAP FONDO PENSIONE: </t>
  </si>
  <si>
    <t>Oneri a carico dell'Amministrazione:</t>
  </si>
  <si>
    <t>CCNL 2022/2024 siglato il 23/12/2025 valido dal 01/04/2025 al 30/06/2025</t>
  </si>
  <si>
    <t>CCNL 2022/2024 siglato il 23/12/2025 valido dal 01/07/2025</t>
  </si>
  <si>
    <t>IVC 2025</t>
  </si>
  <si>
    <t xml:space="preserve">Retrib. di Posizione e di Risultato (30%) comprensive di 13a </t>
  </si>
  <si>
    <t>Retribuzione di posizione</t>
  </si>
  <si>
    <t>CCNL 2022/2024 siglato il 23/12/2025 valido dal 01/01/2024 al 30/04/2024</t>
  </si>
  <si>
    <t>CCNL 2022/2024 siglato il 23/12/2025 valido dal 01/05/2024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</si>
</sst>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[$-410]d\-mmm\-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  <font>
      <b/>
      <sz val="12"/>
      <color indexed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0" fontId="1" fillId="0" borderId="0"/>
    <xf numFmtId="41" fontId="1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4" fillId="0" borderId="0" xfId="0" applyFont="1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vertical="center"/>
    </xf>
    <xf numFmtId="164" fontId="4" fillId="0" borderId="1" xfId="0" applyNumberFormat="1" applyFont="1" applyBorder="1"/>
    <xf numFmtId="164" fontId="4" fillId="0" borderId="1" xfId="1" applyNumberFormat="1" applyFont="1" applyBorder="1"/>
    <xf numFmtId="10" fontId="3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1" fontId="4" fillId="0" borderId="0" xfId="3" applyFont="1" applyAlignment="1">
      <alignment vertical="center"/>
    </xf>
    <xf numFmtId="164" fontId="4" fillId="0" borderId="1" xfId="3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3" fillId="0" borderId="0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1" fontId="6" fillId="0" borderId="0" xfId="3" applyFont="1" applyAlignment="1">
      <alignment vertical="center"/>
    </xf>
    <xf numFmtId="10" fontId="4" fillId="0" borderId="0" xfId="0" applyNumberFormat="1" applyFont="1"/>
    <xf numFmtId="164" fontId="4" fillId="0" borderId="0" xfId="3" applyNumberFormat="1" applyFont="1" applyBorder="1" applyAlignment="1">
      <alignment vertical="center"/>
    </xf>
    <xf numFmtId="164" fontId="4" fillId="0" borderId="0" xfId="1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/>
    </xf>
    <xf numFmtId="164" fontId="4" fillId="0" borderId="1" xfId="4" applyNumberFormat="1" applyFont="1" applyBorder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</cellXfs>
  <cellStyles count="5">
    <cellStyle name="Migliaia [0]" xfId="1" builtinId="6"/>
    <cellStyle name="Migliaia [0] 2" xfId="3" xr:uid="{849BE1EF-21CB-4DC4-B1D4-374386AD0AC3}"/>
    <cellStyle name="Normale" xfId="0" builtinId="0"/>
    <cellStyle name="Normale 2" xfId="4" xr:uid="{CBE0E303-2595-4832-A336-6FC023764CBC}"/>
    <cellStyle name="Normale 3" xfId="2" xr:uid="{1A7E9D3E-B4DA-43FD-BDD6-2037CA649A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F61-37B3-44E2-92B0-DC822010A680}">
  <sheetPr>
    <pageSetUpPr fitToPage="1"/>
  </sheetPr>
  <dimension ref="A1:S43"/>
  <sheetViews>
    <sheetView tabSelected="1" view="pageBreakPreview" zoomScaleSheetLayoutView="100" workbookViewId="0">
      <selection activeCell="E13" sqref="E13"/>
    </sheetView>
  </sheetViews>
  <sheetFormatPr defaultColWidth="12.28515625" defaultRowHeight="12.75" x14ac:dyDescent="0.2"/>
  <cols>
    <col min="1" max="1" width="22.5703125" style="6" customWidth="1"/>
    <col min="2" max="2" width="13.7109375" style="6" customWidth="1"/>
    <col min="3" max="4" width="9.7109375" style="6" bestFit="1" customWidth="1"/>
    <col min="5" max="5" width="14.28515625" style="6" customWidth="1"/>
    <col min="6" max="8" width="14.85546875" style="6" customWidth="1"/>
    <col min="9" max="9" width="16" style="6" customWidth="1"/>
    <col min="10" max="10" width="11.28515625" style="6" bestFit="1" customWidth="1"/>
    <col min="11" max="11" width="12.28515625" style="6" customWidth="1"/>
    <col min="12" max="12" width="14.42578125" style="6" customWidth="1"/>
    <col min="13" max="13" width="6" style="6" customWidth="1"/>
    <col min="14" max="14" width="12.42578125" style="6" bestFit="1" customWidth="1"/>
    <col min="15" max="15" width="13.85546875" style="6" customWidth="1"/>
    <col min="16" max="16" width="9.42578125" style="6" bestFit="1" customWidth="1"/>
    <col min="17" max="17" width="11.28515625" style="6" bestFit="1" customWidth="1"/>
    <col min="18" max="18" width="16.42578125" style="6" bestFit="1" customWidth="1"/>
    <col min="19" max="16384" width="12.28515625" style="6"/>
  </cols>
  <sheetData>
    <row r="1" spans="1:19" s="1" customFormat="1" ht="14.25" x14ac:dyDescent="0.2">
      <c r="A1" s="11" t="s">
        <v>24</v>
      </c>
      <c r="B1" s="11"/>
      <c r="C1" s="11"/>
      <c r="D1" s="11"/>
      <c r="E1" s="11"/>
      <c r="F1" s="11"/>
      <c r="G1" s="11"/>
      <c r="J1" s="4"/>
      <c r="K1" s="2"/>
    </row>
    <row r="2" spans="1:19" s="1" customFormat="1" ht="14.25" x14ac:dyDescent="0.2">
      <c r="A2" s="5"/>
      <c r="B2" s="11" t="s">
        <v>4</v>
      </c>
      <c r="C2" s="11"/>
      <c r="D2" s="11"/>
      <c r="E2" s="11"/>
      <c r="F2" s="11"/>
      <c r="G2" s="11"/>
      <c r="H2" s="11"/>
      <c r="I2" s="11"/>
      <c r="J2" s="9"/>
      <c r="L2" s="36">
        <v>1</v>
      </c>
      <c r="M2" s="9"/>
      <c r="N2" s="2"/>
      <c r="O2" s="2"/>
      <c r="P2" s="3"/>
    </row>
    <row r="4" spans="1:19" ht="29.25" customHeight="1" x14ac:dyDescent="0.2">
      <c r="B4" s="14"/>
      <c r="C4" s="14"/>
      <c r="D4" s="14"/>
      <c r="F4" s="15"/>
      <c r="G4" s="15"/>
      <c r="H4" s="15"/>
      <c r="I4" s="15"/>
      <c r="J4" s="14"/>
      <c r="L4" s="38" t="s">
        <v>41</v>
      </c>
      <c r="M4" s="38"/>
      <c r="N4" s="16"/>
      <c r="O4" s="13"/>
      <c r="P4" s="14"/>
      <c r="Q4" s="14"/>
      <c r="R4" s="14"/>
    </row>
    <row r="5" spans="1:19" ht="67.5" x14ac:dyDescent="0.2">
      <c r="A5" s="17" t="s">
        <v>13</v>
      </c>
      <c r="B5" s="18" t="s">
        <v>7</v>
      </c>
      <c r="C5" s="39" t="s">
        <v>5</v>
      </c>
      <c r="D5" s="17" t="s">
        <v>9</v>
      </c>
      <c r="E5" s="18" t="s">
        <v>6</v>
      </c>
      <c r="F5" s="17" t="s">
        <v>0</v>
      </c>
      <c r="G5" s="10" t="s">
        <v>39</v>
      </c>
      <c r="H5" s="10" t="s">
        <v>10</v>
      </c>
      <c r="I5" s="10" t="s">
        <v>23</v>
      </c>
      <c r="J5" s="18" t="s">
        <v>12</v>
      </c>
      <c r="K5" s="18" t="s">
        <v>14</v>
      </c>
      <c r="L5" s="18" t="s">
        <v>11</v>
      </c>
      <c r="M5" s="42"/>
      <c r="N5" s="19" t="s">
        <v>40</v>
      </c>
      <c r="O5" s="19" t="s">
        <v>8</v>
      </c>
      <c r="P5" s="20" t="s">
        <v>5</v>
      </c>
      <c r="Q5" s="19" t="s">
        <v>15</v>
      </c>
      <c r="R5" s="21"/>
    </row>
    <row r="6" spans="1:19" ht="9.7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S6" s="22"/>
    </row>
    <row r="7" spans="1:19" ht="15" x14ac:dyDescent="0.2">
      <c r="A7" s="20" t="s">
        <v>16</v>
      </c>
      <c r="B7" s="23">
        <f>ROUND(O7/12*$L$2,2)</f>
        <v>1617.84</v>
      </c>
      <c r="C7" s="23"/>
      <c r="D7" s="23">
        <f>ROUND((B7+C7)/12,2)</f>
        <v>134.82</v>
      </c>
      <c r="E7" s="23">
        <f>ROUND(Q7/12*$L$2,2)</f>
        <v>137.19999999999999</v>
      </c>
      <c r="F7" s="23">
        <f>SUM(B7:E7)</f>
        <v>1889.86</v>
      </c>
      <c r="G7" s="23"/>
      <c r="H7" s="8">
        <f>ROUND(140*$L$2,2)</f>
        <v>140</v>
      </c>
      <c r="I7" s="8">
        <f>ROUND(600/12,2)</f>
        <v>50</v>
      </c>
      <c r="J7" s="7">
        <f>ROUND(F7+G7+H7+I7-(F7)*2%,2)</f>
        <v>2042.06</v>
      </c>
      <c r="K7" s="7">
        <f>ROUND((F7)*40.38%+(+H7+I7)*32.7%+(F7+G7+H7+I7)*1.61%,2)</f>
        <v>858.74</v>
      </c>
      <c r="L7" s="25">
        <f>J7+K7</f>
        <v>2900.8</v>
      </c>
      <c r="M7" s="26"/>
      <c r="N7" s="26"/>
      <c r="O7" s="24">
        <v>19414.099999999999</v>
      </c>
      <c r="P7" s="24"/>
      <c r="Q7" s="37">
        <v>1646.36</v>
      </c>
      <c r="R7" s="27"/>
      <c r="S7" s="28"/>
    </row>
    <row r="8" spans="1:19" ht="15" x14ac:dyDescent="0.2">
      <c r="A8" s="20" t="s">
        <v>17</v>
      </c>
      <c r="B8" s="23">
        <f>ROUND(O8/12*$L$2,2)</f>
        <v>1775.57</v>
      </c>
      <c r="C8" s="23"/>
      <c r="D8" s="23">
        <f t="shared" ref="D8:D11" si="0">ROUND((B8+C8)/12,2)</f>
        <v>147.96</v>
      </c>
      <c r="E8" s="23">
        <f t="shared" ref="E8:E11" si="1">ROUND(Q8/12*$L$2,2)</f>
        <v>137.19999999999999</v>
      </c>
      <c r="F8" s="23">
        <f>SUM(B8:E8)</f>
        <v>2060.73</v>
      </c>
      <c r="G8" s="23"/>
      <c r="H8" s="8">
        <f t="shared" ref="H8:H10" si="2">ROUND(140*$L$2,2)</f>
        <v>140</v>
      </c>
      <c r="I8" s="8">
        <f t="shared" ref="I8:I10" si="3">ROUND(600/12,2)</f>
        <v>50</v>
      </c>
      <c r="J8" s="7">
        <f t="shared" ref="J8:J11" si="4">ROUND(F8+G8+H8+I8-(F8)*2%,2)</f>
        <v>2209.52</v>
      </c>
      <c r="K8" s="7">
        <f t="shared" ref="K8:K10" si="5">ROUND((F8)*40.38%+(+H8+I8)*32.7%+(F8+G8+H8+I8)*1.61%,2)</f>
        <v>930.49</v>
      </c>
      <c r="L8" s="25">
        <f t="shared" ref="L8" si="6">J8+K8</f>
        <v>3140.01</v>
      </c>
      <c r="M8" s="26"/>
      <c r="N8" s="26"/>
      <c r="O8" s="24">
        <v>21306.79</v>
      </c>
      <c r="P8" s="24"/>
      <c r="Q8" s="37">
        <v>1646.36</v>
      </c>
      <c r="R8" s="27"/>
      <c r="S8" s="28"/>
    </row>
    <row r="9" spans="1:19" ht="15" x14ac:dyDescent="0.2">
      <c r="A9" s="20" t="s">
        <v>1</v>
      </c>
      <c r="B9" s="23">
        <f>ROUND(O9/12*$L$2,2)</f>
        <v>1831</v>
      </c>
      <c r="C9" s="23"/>
      <c r="D9" s="23">
        <f t="shared" si="0"/>
        <v>152.58000000000001</v>
      </c>
      <c r="E9" s="23">
        <f t="shared" si="1"/>
        <v>182.26</v>
      </c>
      <c r="F9" s="23">
        <f>SUM(B9:E9)</f>
        <v>2165.84</v>
      </c>
      <c r="G9" s="23"/>
      <c r="H9" s="8">
        <f t="shared" si="2"/>
        <v>140</v>
      </c>
      <c r="I9" s="8">
        <f t="shared" si="3"/>
        <v>50</v>
      </c>
      <c r="J9" s="7">
        <f t="shared" si="4"/>
        <v>2312.52</v>
      </c>
      <c r="K9" s="7">
        <f t="shared" si="5"/>
        <v>974.63</v>
      </c>
      <c r="L9" s="25">
        <f>J9+K9</f>
        <v>3287.15</v>
      </c>
      <c r="M9" s="26"/>
      <c r="N9" s="26"/>
      <c r="O9" s="24">
        <v>21972.04</v>
      </c>
      <c r="P9" s="24"/>
      <c r="Q9" s="37">
        <v>2187.17</v>
      </c>
      <c r="R9" s="27"/>
      <c r="S9" s="28"/>
    </row>
    <row r="10" spans="1:19" ht="15" x14ac:dyDescent="0.2">
      <c r="A10" s="20" t="s">
        <v>2</v>
      </c>
      <c r="B10" s="23">
        <f>ROUND(O10/12*$L$2,2)</f>
        <v>2125.48</v>
      </c>
      <c r="C10" s="23"/>
      <c r="D10" s="23">
        <f t="shared" si="0"/>
        <v>177.12</v>
      </c>
      <c r="E10" s="23">
        <f t="shared" si="1"/>
        <v>252.21</v>
      </c>
      <c r="F10" s="23">
        <f>SUM(B10:E10)</f>
        <v>2554.81</v>
      </c>
      <c r="G10" s="23"/>
      <c r="H10" s="8">
        <f t="shared" si="2"/>
        <v>140</v>
      </c>
      <c r="I10" s="8">
        <f t="shared" si="3"/>
        <v>50</v>
      </c>
      <c r="J10" s="7">
        <f t="shared" si="4"/>
        <v>2693.71</v>
      </c>
      <c r="K10" s="7">
        <f t="shared" si="5"/>
        <v>1137.95</v>
      </c>
      <c r="L10" s="25">
        <f>J10+K10</f>
        <v>3831.66</v>
      </c>
      <c r="M10" s="26"/>
      <c r="N10" s="26"/>
      <c r="O10" s="24">
        <v>25505.79</v>
      </c>
      <c r="P10" s="24"/>
      <c r="Q10" s="37">
        <v>3026.46</v>
      </c>
      <c r="R10" s="27"/>
      <c r="S10" s="28"/>
    </row>
    <row r="11" spans="1:19" ht="15" x14ac:dyDescent="0.2">
      <c r="A11" s="20" t="s">
        <v>3</v>
      </c>
      <c r="B11" s="23">
        <f>ROUND(O11/12*$L$2,2)</f>
        <v>2391.14</v>
      </c>
      <c r="C11" s="23"/>
      <c r="D11" s="23">
        <f t="shared" si="0"/>
        <v>199.26</v>
      </c>
      <c r="E11" s="23">
        <f t="shared" si="1"/>
        <v>298.10000000000002</v>
      </c>
      <c r="F11" s="23">
        <f>SUM(B11:E11)</f>
        <v>2888.4999999999995</v>
      </c>
      <c r="G11" s="8">
        <f>ROUND(((N11)*$L$2+(N11)*0.3)/12,2)</f>
        <v>335.73</v>
      </c>
      <c r="H11" s="23"/>
      <c r="I11" s="8"/>
      <c r="J11" s="7">
        <f t="shared" si="4"/>
        <v>3166.46</v>
      </c>
      <c r="K11" s="7">
        <f>ROUND((F11)*40.38%+(+G11+H11+I11)*32.7%+(F11+G11+H11+I11)*1.61%+((B11+C11)-556.86*$L$2)*4.36%,2)</f>
        <v>1408.04</v>
      </c>
      <c r="L11" s="25">
        <f>J11+K11</f>
        <v>4574.5</v>
      </c>
      <c r="M11" s="26"/>
      <c r="N11" s="24">
        <v>3099</v>
      </c>
      <c r="O11" s="24">
        <v>28693.65</v>
      </c>
      <c r="P11" s="24"/>
      <c r="Q11" s="37">
        <v>3577.2</v>
      </c>
      <c r="R11" s="27"/>
      <c r="S11" s="28"/>
    </row>
    <row r="12" spans="1:19" ht="15" x14ac:dyDescent="0.2">
      <c r="B12" s="32"/>
      <c r="C12" s="32"/>
      <c r="D12" s="32"/>
      <c r="E12" s="32"/>
      <c r="F12" s="32"/>
      <c r="G12" s="33"/>
      <c r="H12" s="32"/>
      <c r="I12" s="33"/>
      <c r="J12" s="34"/>
      <c r="K12" s="34"/>
      <c r="L12" s="26"/>
      <c r="M12" s="26"/>
      <c r="N12" s="26"/>
      <c r="O12" s="35"/>
      <c r="P12" s="35"/>
      <c r="Q12" s="35"/>
      <c r="R12" s="27"/>
      <c r="S12" s="28"/>
    </row>
    <row r="13" spans="1:19" ht="29.25" customHeight="1" x14ac:dyDescent="0.2">
      <c r="B13" s="14"/>
      <c r="C13" s="14"/>
      <c r="D13" s="14"/>
      <c r="F13" s="15"/>
      <c r="G13" s="15"/>
      <c r="H13" s="15"/>
      <c r="I13" s="15"/>
      <c r="J13" s="14"/>
      <c r="L13" s="38" t="s">
        <v>42</v>
      </c>
      <c r="M13" s="38"/>
      <c r="N13" s="16"/>
      <c r="O13" s="13"/>
      <c r="P13" s="14"/>
      <c r="Q13" s="14"/>
      <c r="R13" s="14"/>
    </row>
    <row r="14" spans="1:19" ht="67.5" x14ac:dyDescent="0.2">
      <c r="A14" s="17" t="s">
        <v>13</v>
      </c>
      <c r="B14" s="18" t="s">
        <v>7</v>
      </c>
      <c r="C14" s="39" t="s">
        <v>38</v>
      </c>
      <c r="D14" s="17" t="s">
        <v>9</v>
      </c>
      <c r="E14" s="18" t="s">
        <v>6</v>
      </c>
      <c r="F14" s="17" t="s">
        <v>0</v>
      </c>
      <c r="G14" s="10" t="s">
        <v>39</v>
      </c>
      <c r="H14" s="10" t="s">
        <v>10</v>
      </c>
      <c r="I14" s="10" t="s">
        <v>23</v>
      </c>
      <c r="J14" s="18" t="s">
        <v>12</v>
      </c>
      <c r="K14" s="18" t="s">
        <v>14</v>
      </c>
      <c r="L14" s="18" t="s">
        <v>11</v>
      </c>
      <c r="M14" s="42"/>
      <c r="N14" s="19" t="s">
        <v>40</v>
      </c>
      <c r="O14" s="19" t="s">
        <v>8</v>
      </c>
      <c r="P14" s="20" t="s">
        <v>5</v>
      </c>
      <c r="Q14" s="19" t="s">
        <v>15</v>
      </c>
      <c r="R14" s="21"/>
    </row>
    <row r="15" spans="1:19" ht="9.7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S15" s="22"/>
    </row>
    <row r="16" spans="1:19" ht="15" x14ac:dyDescent="0.2">
      <c r="A16" s="40" t="s">
        <v>25</v>
      </c>
      <c r="B16" s="23">
        <f>ROUND(O16/12*$L$2,2)</f>
        <v>1775.57</v>
      </c>
      <c r="C16" s="23">
        <f>ROUND((P16)/12*$L$2,2)</f>
        <v>0</v>
      </c>
      <c r="D16" s="23">
        <f t="shared" ref="D16:D19" si="7">ROUND((B16+C16)/12,2)</f>
        <v>147.96</v>
      </c>
      <c r="E16" s="23">
        <f t="shared" ref="E16:E19" si="8">ROUND(Q16/12*$L$2,2)</f>
        <v>137.19999999999999</v>
      </c>
      <c r="F16" s="23">
        <f>SUM(B16:E16)</f>
        <v>2060.73</v>
      </c>
      <c r="G16" s="23"/>
      <c r="H16" s="8">
        <f t="shared" ref="H16:H18" si="9">ROUND(140*$L$2,2)</f>
        <v>140</v>
      </c>
      <c r="I16" s="8">
        <f t="shared" ref="I16:I18" si="10">ROUND(600/12,2)</f>
        <v>50</v>
      </c>
      <c r="J16" s="7">
        <f t="shared" ref="J16:J19" si="11">ROUND(F16+G16+H16+I16-(F16)*2%,2)</f>
        <v>2209.52</v>
      </c>
      <c r="K16" s="7">
        <f t="shared" ref="K16:K18" si="12">ROUND((F16)*40.38%+(+H16+I16)*32.7%+(F16+G16+H16+I16)*1.61%,2)</f>
        <v>930.49</v>
      </c>
      <c r="L16" s="25">
        <f t="shared" ref="L16" si="13">J16+K16</f>
        <v>3140.01</v>
      </c>
      <c r="M16" s="26"/>
      <c r="N16" s="26"/>
      <c r="O16" s="24">
        <v>21306.79</v>
      </c>
      <c r="P16" s="37"/>
      <c r="Q16" s="37">
        <v>1646.36</v>
      </c>
      <c r="R16" s="27"/>
      <c r="S16" s="28"/>
    </row>
    <row r="17" spans="1:19" ht="15" x14ac:dyDescent="0.2">
      <c r="A17" s="40" t="s">
        <v>26</v>
      </c>
      <c r="B17" s="23">
        <f>ROUND(O17/12*$L$2,2)</f>
        <v>1863.17</v>
      </c>
      <c r="C17" s="23">
        <f t="shared" ref="C17:C19" si="14">ROUND((P17)/12*$L$2,2)</f>
        <v>0</v>
      </c>
      <c r="D17" s="23">
        <f t="shared" si="7"/>
        <v>155.26</v>
      </c>
      <c r="E17" s="23">
        <f t="shared" si="8"/>
        <v>182.26</v>
      </c>
      <c r="F17" s="23">
        <f>SUM(B17:E17)</f>
        <v>2200.69</v>
      </c>
      <c r="G17" s="23"/>
      <c r="H17" s="8">
        <f t="shared" si="9"/>
        <v>140</v>
      </c>
      <c r="I17" s="8">
        <f t="shared" si="10"/>
        <v>50</v>
      </c>
      <c r="J17" s="7">
        <f t="shared" si="11"/>
        <v>2346.6799999999998</v>
      </c>
      <c r="K17" s="7">
        <f t="shared" si="12"/>
        <v>989.26</v>
      </c>
      <c r="L17" s="25">
        <f>J17+K17</f>
        <v>3335.9399999999996</v>
      </c>
      <c r="M17" s="26"/>
      <c r="N17" s="26"/>
      <c r="O17" s="24">
        <v>22358.04</v>
      </c>
      <c r="P17" s="37"/>
      <c r="Q17" s="37">
        <v>2187.17</v>
      </c>
      <c r="R17" s="27"/>
      <c r="S17" s="28"/>
    </row>
    <row r="18" spans="1:19" ht="15" x14ac:dyDescent="0.2">
      <c r="A18" s="40" t="s">
        <v>27</v>
      </c>
      <c r="B18" s="23">
        <f>ROUND(O18/12*$L$2,2)</f>
        <v>2125.48</v>
      </c>
      <c r="C18" s="23">
        <f t="shared" si="14"/>
        <v>0</v>
      </c>
      <c r="D18" s="23">
        <f t="shared" si="7"/>
        <v>177.12</v>
      </c>
      <c r="E18" s="23">
        <f t="shared" si="8"/>
        <v>252.21</v>
      </c>
      <c r="F18" s="23">
        <f>SUM(B18:E18)</f>
        <v>2554.81</v>
      </c>
      <c r="G18" s="23"/>
      <c r="H18" s="8">
        <f t="shared" si="9"/>
        <v>140</v>
      </c>
      <c r="I18" s="8">
        <f t="shared" si="10"/>
        <v>50</v>
      </c>
      <c r="J18" s="7">
        <f t="shared" si="11"/>
        <v>2693.71</v>
      </c>
      <c r="K18" s="7">
        <f t="shared" si="12"/>
        <v>1137.95</v>
      </c>
      <c r="L18" s="25">
        <f>J18+K18</f>
        <v>3831.66</v>
      </c>
      <c r="M18" s="26"/>
      <c r="N18" s="26"/>
      <c r="O18" s="24">
        <v>25505.79</v>
      </c>
      <c r="P18" s="37"/>
      <c r="Q18" s="37">
        <v>3026.46</v>
      </c>
      <c r="R18" s="27"/>
      <c r="S18" s="28"/>
    </row>
    <row r="19" spans="1:19" ht="15" x14ac:dyDescent="0.2">
      <c r="A19" s="40" t="s">
        <v>28</v>
      </c>
      <c r="B19" s="23">
        <f>ROUND(O19/12*$L$2,2)</f>
        <v>2391.14</v>
      </c>
      <c r="C19" s="23">
        <f t="shared" si="14"/>
        <v>0</v>
      </c>
      <c r="D19" s="23">
        <f t="shared" si="7"/>
        <v>199.26</v>
      </c>
      <c r="E19" s="23">
        <f t="shared" si="8"/>
        <v>298.10000000000002</v>
      </c>
      <c r="F19" s="23">
        <f>SUM(B19:E19)</f>
        <v>2888.4999999999995</v>
      </c>
      <c r="G19" s="8">
        <f>ROUND(((N19)*$L$2+(N19)*0.3)/12,2)</f>
        <v>335.73</v>
      </c>
      <c r="H19" s="23"/>
      <c r="I19" s="8"/>
      <c r="J19" s="7">
        <f t="shared" si="11"/>
        <v>3166.46</v>
      </c>
      <c r="K19" s="7">
        <f>ROUND((F19)*40.38%+(+G19+H19+I19)*32.7%+(F19+G19+H19+I19)*1.61%+((B19+C19)-556.86*$L$2)*4.36%,2)</f>
        <v>1408.04</v>
      </c>
      <c r="L19" s="25">
        <f>J19+K19</f>
        <v>4574.5</v>
      </c>
      <c r="M19" s="26"/>
      <c r="N19" s="24">
        <v>3099</v>
      </c>
      <c r="O19" s="24">
        <v>28693.65</v>
      </c>
      <c r="P19" s="37"/>
      <c r="Q19" s="37">
        <v>3577.2</v>
      </c>
      <c r="R19" s="27"/>
      <c r="S19" s="28"/>
    </row>
    <row r="20" spans="1:19" ht="15" x14ac:dyDescent="0.2">
      <c r="B20" s="32"/>
      <c r="C20" s="32"/>
      <c r="D20" s="32"/>
      <c r="E20" s="32"/>
      <c r="F20" s="32"/>
      <c r="G20" s="33"/>
      <c r="H20" s="32"/>
      <c r="I20" s="33"/>
      <c r="J20" s="34"/>
      <c r="K20" s="34"/>
      <c r="L20" s="26"/>
      <c r="M20" s="26"/>
      <c r="N20" s="26"/>
      <c r="O20" s="35"/>
      <c r="P20" s="35"/>
      <c r="Q20" s="35"/>
      <c r="R20" s="27"/>
      <c r="S20" s="28"/>
    </row>
    <row r="21" spans="1:19" ht="29.25" customHeight="1" x14ac:dyDescent="0.2">
      <c r="B21" s="14"/>
      <c r="C21" s="14"/>
      <c r="D21" s="14"/>
      <c r="F21" s="15"/>
      <c r="G21" s="15"/>
      <c r="H21" s="15"/>
      <c r="I21" s="15"/>
      <c r="J21" s="14"/>
      <c r="L21" s="38" t="s">
        <v>36</v>
      </c>
      <c r="M21" s="38"/>
      <c r="N21" s="16"/>
      <c r="O21" s="13"/>
      <c r="P21" s="14"/>
      <c r="Q21" s="14"/>
      <c r="R21" s="14"/>
    </row>
    <row r="22" spans="1:19" ht="67.5" x14ac:dyDescent="0.2">
      <c r="A22" s="17" t="s">
        <v>13</v>
      </c>
      <c r="B22" s="18" t="s">
        <v>7</v>
      </c>
      <c r="C22" s="39" t="s">
        <v>38</v>
      </c>
      <c r="D22" s="17" t="s">
        <v>9</v>
      </c>
      <c r="E22" s="18" t="s">
        <v>6</v>
      </c>
      <c r="F22" s="17" t="s">
        <v>0</v>
      </c>
      <c r="G22" s="10" t="s">
        <v>39</v>
      </c>
      <c r="H22" s="10" t="s">
        <v>10</v>
      </c>
      <c r="I22" s="10" t="s">
        <v>23</v>
      </c>
      <c r="J22" s="18" t="s">
        <v>12</v>
      </c>
      <c r="K22" s="18" t="s">
        <v>14</v>
      </c>
      <c r="L22" s="18" t="s">
        <v>11</v>
      </c>
      <c r="M22" s="42"/>
      <c r="N22" s="19" t="s">
        <v>40</v>
      </c>
      <c r="O22" s="19" t="s">
        <v>8</v>
      </c>
      <c r="P22" s="20" t="s">
        <v>5</v>
      </c>
      <c r="Q22" s="19" t="s">
        <v>15</v>
      </c>
      <c r="R22" s="21"/>
    </row>
    <row r="23" spans="1:19" ht="9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S23" s="22"/>
    </row>
    <row r="24" spans="1:19" ht="15" x14ac:dyDescent="0.2">
      <c r="A24" s="40" t="s">
        <v>25</v>
      </c>
      <c r="B24" s="23">
        <f>ROUND(O24/12*$L$2,2)</f>
        <v>1775.57</v>
      </c>
      <c r="C24" s="23">
        <f>ROUND((P24)/12*$L$2,2)</f>
        <v>10.65</v>
      </c>
      <c r="D24" s="23">
        <f t="shared" ref="D24:D27" si="15">ROUND((B24+C24)/12,2)</f>
        <v>148.85</v>
      </c>
      <c r="E24" s="23">
        <f t="shared" ref="E24:E27" si="16">ROUND(Q24/12*$L$2,2)</f>
        <v>137.19999999999999</v>
      </c>
      <c r="F24" s="23">
        <f>SUM(B24:E24)</f>
        <v>2072.27</v>
      </c>
      <c r="G24" s="23"/>
      <c r="H24" s="8">
        <f t="shared" ref="H24:H26" si="17">ROUND(140*$L$2,2)</f>
        <v>140</v>
      </c>
      <c r="I24" s="8">
        <f t="shared" ref="I24:I26" si="18">ROUND(600/12,2)</f>
        <v>50</v>
      </c>
      <c r="J24" s="7">
        <f t="shared" ref="J24:J27" si="19">ROUND(F24+G24+H24+I24-(F24)*2%,2)</f>
        <v>2220.8200000000002</v>
      </c>
      <c r="K24" s="7">
        <f t="shared" ref="K24:K26" si="20">ROUND((F24)*40.38%+(+H24+I24)*32.7%+(F24+G24+H24+I24)*1.61%,2)</f>
        <v>935.34</v>
      </c>
      <c r="L24" s="25">
        <f t="shared" ref="L24" si="21">J24+K24</f>
        <v>3156.1600000000003</v>
      </c>
      <c r="M24" s="26"/>
      <c r="N24" s="26"/>
      <c r="O24" s="24">
        <v>21306.79</v>
      </c>
      <c r="P24" s="37">
        <f>10.65*12</f>
        <v>127.80000000000001</v>
      </c>
      <c r="Q24" s="37">
        <v>1646.36</v>
      </c>
      <c r="R24" s="27"/>
      <c r="S24" s="28"/>
    </row>
    <row r="25" spans="1:19" ht="15" x14ac:dyDescent="0.2">
      <c r="A25" s="40" t="s">
        <v>26</v>
      </c>
      <c r="B25" s="23">
        <f>ROUND(O25/12*$L$2,2)</f>
        <v>1863.17</v>
      </c>
      <c r="C25" s="23">
        <f t="shared" ref="C25:C27" si="22">ROUND((P25)/12*$L$2,2)</f>
        <v>11.18</v>
      </c>
      <c r="D25" s="23">
        <f t="shared" si="15"/>
        <v>156.19999999999999</v>
      </c>
      <c r="E25" s="23">
        <f t="shared" si="16"/>
        <v>182.26</v>
      </c>
      <c r="F25" s="23">
        <f>SUM(B25:E25)</f>
        <v>2212.8100000000004</v>
      </c>
      <c r="G25" s="23"/>
      <c r="H25" s="8">
        <f t="shared" si="17"/>
        <v>140</v>
      </c>
      <c r="I25" s="8">
        <f t="shared" si="18"/>
        <v>50</v>
      </c>
      <c r="J25" s="7">
        <f t="shared" si="19"/>
        <v>2358.5500000000002</v>
      </c>
      <c r="K25" s="7">
        <f t="shared" si="20"/>
        <v>994.35</v>
      </c>
      <c r="L25" s="25">
        <f>J25+K25</f>
        <v>3352.9</v>
      </c>
      <c r="M25" s="26"/>
      <c r="N25" s="26"/>
      <c r="O25" s="24">
        <v>22358.04</v>
      </c>
      <c r="P25" s="37">
        <f>11.18*12</f>
        <v>134.16</v>
      </c>
      <c r="Q25" s="37">
        <v>2187.17</v>
      </c>
      <c r="R25" s="27"/>
      <c r="S25" s="28"/>
    </row>
    <row r="26" spans="1:19" ht="15" x14ac:dyDescent="0.2">
      <c r="A26" s="40" t="s">
        <v>27</v>
      </c>
      <c r="B26" s="23">
        <f>ROUND(O26/12*$L$2,2)</f>
        <v>2125.48</v>
      </c>
      <c r="C26" s="23">
        <f t="shared" si="22"/>
        <v>12.75</v>
      </c>
      <c r="D26" s="23">
        <f t="shared" si="15"/>
        <v>178.19</v>
      </c>
      <c r="E26" s="23">
        <f t="shared" si="16"/>
        <v>252.21</v>
      </c>
      <c r="F26" s="23">
        <f>SUM(B26:E26)</f>
        <v>2568.63</v>
      </c>
      <c r="G26" s="23"/>
      <c r="H26" s="8">
        <f t="shared" si="17"/>
        <v>140</v>
      </c>
      <c r="I26" s="8">
        <f t="shared" si="18"/>
        <v>50</v>
      </c>
      <c r="J26" s="7">
        <f t="shared" si="19"/>
        <v>2707.26</v>
      </c>
      <c r="K26" s="7">
        <f t="shared" si="20"/>
        <v>1143.76</v>
      </c>
      <c r="L26" s="25">
        <f>J26+K26</f>
        <v>3851.0200000000004</v>
      </c>
      <c r="M26" s="26"/>
      <c r="N26" s="26"/>
      <c r="O26" s="24">
        <v>25505.79</v>
      </c>
      <c r="P26" s="37">
        <f>12.75*12</f>
        <v>153</v>
      </c>
      <c r="Q26" s="37">
        <v>3026.46</v>
      </c>
      <c r="R26" s="27"/>
      <c r="S26" s="28"/>
    </row>
    <row r="27" spans="1:19" ht="15" x14ac:dyDescent="0.2">
      <c r="A27" s="40" t="s">
        <v>28</v>
      </c>
      <c r="B27" s="23">
        <f>ROUND(O27/12*$L$2,2)</f>
        <v>2391.14</v>
      </c>
      <c r="C27" s="23">
        <f t="shared" si="22"/>
        <v>14.35</v>
      </c>
      <c r="D27" s="23">
        <f t="shared" si="15"/>
        <v>200.46</v>
      </c>
      <c r="E27" s="23">
        <f t="shared" si="16"/>
        <v>298.10000000000002</v>
      </c>
      <c r="F27" s="23">
        <f>SUM(B27:E27)</f>
        <v>2904.0499999999997</v>
      </c>
      <c r="G27" s="8">
        <f>ROUND(((N27)*$L$2+(N27)*0.3)/12,2)</f>
        <v>335.73</v>
      </c>
      <c r="H27" s="23"/>
      <c r="I27" s="8"/>
      <c r="J27" s="7">
        <f t="shared" si="19"/>
        <v>3181.7</v>
      </c>
      <c r="K27" s="7">
        <f>ROUND((F27)*40.38%+(+G27+H27+I27)*32.7%+(F27+G27+H27+I27)*1.61%+((B27+C27)-556.86*$L$2)*4.36%,2)</f>
        <v>1415.2</v>
      </c>
      <c r="L27" s="25">
        <f>J27+K27</f>
        <v>4596.8999999999996</v>
      </c>
      <c r="M27" s="26"/>
      <c r="N27" s="24">
        <v>3099</v>
      </c>
      <c r="O27" s="24">
        <v>28693.65</v>
      </c>
      <c r="P27" s="37">
        <f>14.35*12</f>
        <v>172.2</v>
      </c>
      <c r="Q27" s="37">
        <v>3577.2</v>
      </c>
      <c r="R27" s="27"/>
      <c r="S27" s="28"/>
    </row>
    <row r="28" spans="1:19" ht="15" x14ac:dyDescent="0.2">
      <c r="B28" s="32"/>
      <c r="C28" s="32"/>
      <c r="D28" s="32"/>
      <c r="E28" s="32"/>
      <c r="F28" s="32"/>
      <c r="G28" s="33"/>
      <c r="H28" s="32"/>
      <c r="I28" s="33"/>
      <c r="J28" s="34"/>
      <c r="K28" s="34"/>
      <c r="L28" s="26"/>
      <c r="M28" s="26"/>
      <c r="N28" s="26"/>
      <c r="O28" s="35"/>
      <c r="P28" s="35"/>
      <c r="Q28" s="35"/>
      <c r="R28" s="27"/>
      <c r="S28" s="28"/>
    </row>
    <row r="29" spans="1:19" ht="29.25" customHeight="1" x14ac:dyDescent="0.2">
      <c r="B29" s="14"/>
      <c r="C29" s="14"/>
      <c r="D29" s="14"/>
      <c r="F29" s="15"/>
      <c r="G29" s="15"/>
      <c r="H29" s="15"/>
      <c r="I29" s="15"/>
      <c r="J29" s="14"/>
      <c r="L29" s="38" t="s">
        <v>37</v>
      </c>
      <c r="M29" s="38"/>
      <c r="N29" s="16"/>
      <c r="O29" s="13"/>
      <c r="P29" s="14"/>
      <c r="Q29" s="14"/>
      <c r="R29" s="14"/>
    </row>
    <row r="30" spans="1:19" ht="67.5" x14ac:dyDescent="0.2">
      <c r="A30" s="17" t="s">
        <v>13</v>
      </c>
      <c r="B30" s="18" t="s">
        <v>7</v>
      </c>
      <c r="C30" s="39" t="s">
        <v>38</v>
      </c>
      <c r="D30" s="17" t="s">
        <v>9</v>
      </c>
      <c r="E30" s="18" t="s">
        <v>6</v>
      </c>
      <c r="F30" s="17" t="s">
        <v>0</v>
      </c>
      <c r="G30" s="10" t="s">
        <v>39</v>
      </c>
      <c r="H30" s="10" t="s">
        <v>10</v>
      </c>
      <c r="I30" s="10" t="s">
        <v>23</v>
      </c>
      <c r="J30" s="18" t="s">
        <v>12</v>
      </c>
      <c r="K30" s="18" t="s">
        <v>14</v>
      </c>
      <c r="L30" s="18" t="s">
        <v>11</v>
      </c>
      <c r="M30" s="42"/>
      <c r="N30" s="19" t="s">
        <v>40</v>
      </c>
      <c r="O30" s="19" t="s">
        <v>8</v>
      </c>
      <c r="P30" s="20" t="s">
        <v>5</v>
      </c>
      <c r="Q30" s="19" t="s">
        <v>15</v>
      </c>
      <c r="R30" s="21"/>
    </row>
    <row r="31" spans="1:19" ht="9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S31" s="22"/>
    </row>
    <row r="32" spans="1:19" ht="15" x14ac:dyDescent="0.2">
      <c r="A32" s="40" t="s">
        <v>25</v>
      </c>
      <c r="B32" s="23">
        <f>ROUND(O32/12*$L$2,2)</f>
        <v>1775.57</v>
      </c>
      <c r="C32" s="23">
        <f>ROUND((P32)/12*$L$2,2)</f>
        <v>17.760000000000002</v>
      </c>
      <c r="D32" s="23">
        <f t="shared" ref="D32:D35" si="23">ROUND((B32+C32)/12,2)</f>
        <v>149.44</v>
      </c>
      <c r="E32" s="23">
        <f t="shared" ref="E32:E35" si="24">ROUND(Q32/12*$L$2,2)</f>
        <v>137.19999999999999</v>
      </c>
      <c r="F32" s="23">
        <f>SUM(B32:E32)</f>
        <v>2079.9699999999998</v>
      </c>
      <c r="G32" s="23"/>
      <c r="H32" s="8">
        <f t="shared" ref="H32:H34" si="25">ROUND(140*$L$2,2)</f>
        <v>140</v>
      </c>
      <c r="I32" s="8">
        <f t="shared" ref="I32:I34" si="26">ROUND(600/12,2)</f>
        <v>50</v>
      </c>
      <c r="J32" s="7">
        <f t="shared" ref="J32:J35" si="27">ROUND(F32+G32+H32+I32-(F32)*2%,2)</f>
        <v>2228.37</v>
      </c>
      <c r="K32" s="7">
        <f t="shared" ref="K32:K34" si="28">ROUND((F32)*40.38%+(+H32+I32)*32.7%+(F32+G32+H32+I32)*1.61%,2)</f>
        <v>938.57</v>
      </c>
      <c r="L32" s="25">
        <f t="shared" ref="L32" si="29">J32+K32</f>
        <v>3166.94</v>
      </c>
      <c r="M32" s="26"/>
      <c r="N32" s="26"/>
      <c r="O32" s="24">
        <v>21306.79</v>
      </c>
      <c r="P32" s="37">
        <f>17.76*12</f>
        <v>213.12</v>
      </c>
      <c r="Q32" s="37">
        <v>1646.36</v>
      </c>
      <c r="R32" s="27"/>
      <c r="S32" s="28"/>
    </row>
    <row r="33" spans="1:19" ht="15" x14ac:dyDescent="0.2">
      <c r="A33" s="40" t="s">
        <v>26</v>
      </c>
      <c r="B33" s="23">
        <f>ROUND(O33/12*$L$2,2)</f>
        <v>1863.17</v>
      </c>
      <c r="C33" s="23">
        <f t="shared" ref="C33:C35" si="30">ROUND((P33)/12*$L$2,2)</f>
        <v>18.63</v>
      </c>
      <c r="D33" s="23">
        <f t="shared" si="23"/>
        <v>156.82</v>
      </c>
      <c r="E33" s="23">
        <f t="shared" si="24"/>
        <v>182.26</v>
      </c>
      <c r="F33" s="23">
        <f>SUM(B33:E33)</f>
        <v>2220.88</v>
      </c>
      <c r="G33" s="23"/>
      <c r="H33" s="8">
        <f t="shared" si="25"/>
        <v>140</v>
      </c>
      <c r="I33" s="8">
        <f t="shared" si="26"/>
        <v>50</v>
      </c>
      <c r="J33" s="7">
        <f t="shared" si="27"/>
        <v>2366.46</v>
      </c>
      <c r="K33" s="7">
        <f t="shared" si="28"/>
        <v>997.74</v>
      </c>
      <c r="L33" s="25">
        <f>J33+K33</f>
        <v>3364.2</v>
      </c>
      <c r="M33" s="26"/>
      <c r="N33" s="26"/>
      <c r="O33" s="24">
        <v>22358.04</v>
      </c>
      <c r="P33" s="37">
        <f>18.63*12</f>
        <v>223.56</v>
      </c>
      <c r="Q33" s="37">
        <v>2187.17</v>
      </c>
      <c r="R33" s="27"/>
      <c r="S33" s="28"/>
    </row>
    <row r="34" spans="1:19" ht="15" x14ac:dyDescent="0.2">
      <c r="A34" s="40" t="s">
        <v>27</v>
      </c>
      <c r="B34" s="23">
        <f>ROUND(O34/12*$L$2,2)</f>
        <v>2125.48</v>
      </c>
      <c r="C34" s="23">
        <f t="shared" si="30"/>
        <v>21.25</v>
      </c>
      <c r="D34" s="23">
        <f t="shared" si="23"/>
        <v>178.89</v>
      </c>
      <c r="E34" s="23">
        <f t="shared" si="24"/>
        <v>252.21</v>
      </c>
      <c r="F34" s="23">
        <f>SUM(B34:E34)</f>
        <v>2577.83</v>
      </c>
      <c r="G34" s="23"/>
      <c r="H34" s="8">
        <f t="shared" si="25"/>
        <v>140</v>
      </c>
      <c r="I34" s="8">
        <f t="shared" si="26"/>
        <v>50</v>
      </c>
      <c r="J34" s="7">
        <f t="shared" si="27"/>
        <v>2716.27</v>
      </c>
      <c r="K34" s="7">
        <f t="shared" si="28"/>
        <v>1147.6199999999999</v>
      </c>
      <c r="L34" s="25">
        <f>J34+K34</f>
        <v>3863.89</v>
      </c>
      <c r="M34" s="26"/>
      <c r="N34" s="26"/>
      <c r="O34" s="24">
        <v>25505.79</v>
      </c>
      <c r="P34" s="37">
        <f>21.25*12</f>
        <v>255</v>
      </c>
      <c r="Q34" s="37">
        <v>3026.46</v>
      </c>
      <c r="R34" s="27"/>
      <c r="S34" s="28"/>
    </row>
    <row r="35" spans="1:19" ht="15" x14ac:dyDescent="0.2">
      <c r="A35" s="40" t="s">
        <v>28</v>
      </c>
      <c r="B35" s="23">
        <f>ROUND(O35/12*$L$2,2)</f>
        <v>2391.14</v>
      </c>
      <c r="C35" s="23">
        <f t="shared" si="30"/>
        <v>23.91</v>
      </c>
      <c r="D35" s="23">
        <f t="shared" si="23"/>
        <v>201.25</v>
      </c>
      <c r="E35" s="23">
        <f t="shared" si="24"/>
        <v>298.10000000000002</v>
      </c>
      <c r="F35" s="23">
        <f>SUM(B35:E35)</f>
        <v>2914.3999999999996</v>
      </c>
      <c r="G35" s="8">
        <f>ROUND(((N35)*$L$2+(N35)*0.3)/12,2)</f>
        <v>335.73</v>
      </c>
      <c r="H35" s="23"/>
      <c r="I35" s="8"/>
      <c r="J35" s="7">
        <f t="shared" si="27"/>
        <v>3191.84</v>
      </c>
      <c r="K35" s="7">
        <f>ROUND((F35)*40.38%+(+G35+H35+I35)*32.7%+(F35+G35+H35+I35)*1.61%+((B35+C35)-556.86*$L$2)*4.36%,2)</f>
        <v>1419.96</v>
      </c>
      <c r="L35" s="25">
        <f>J35+K35</f>
        <v>4611.8</v>
      </c>
      <c r="M35" s="26"/>
      <c r="N35" s="24">
        <v>3099</v>
      </c>
      <c r="O35" s="24">
        <v>28693.65</v>
      </c>
      <c r="P35" s="37">
        <f>23.91*12</f>
        <v>286.92</v>
      </c>
      <c r="Q35" s="37">
        <v>3577.2</v>
      </c>
      <c r="R35" s="27"/>
      <c r="S35" s="28"/>
    </row>
    <row r="36" spans="1:19" ht="15" x14ac:dyDescent="0.2">
      <c r="B36" s="32"/>
      <c r="C36" s="32"/>
      <c r="D36" s="32"/>
      <c r="E36" s="32"/>
      <c r="F36" s="32"/>
      <c r="G36" s="33"/>
      <c r="H36" s="32"/>
      <c r="I36" s="33"/>
      <c r="J36" s="34"/>
      <c r="K36" s="34"/>
      <c r="L36" s="26"/>
      <c r="M36" s="26"/>
      <c r="N36" s="26"/>
      <c r="O36" s="35"/>
      <c r="P36" s="35"/>
      <c r="Q36" s="35"/>
      <c r="R36" s="27"/>
      <c r="S36" s="28"/>
    </row>
    <row r="37" spans="1:19" ht="15" x14ac:dyDescent="0.2">
      <c r="B37" s="32"/>
      <c r="C37" s="32"/>
      <c r="D37" s="32"/>
      <c r="E37" s="32"/>
      <c r="F37" s="32"/>
      <c r="G37" s="33"/>
      <c r="H37" s="32"/>
      <c r="I37" s="33"/>
      <c r="J37" s="34"/>
      <c r="K37" s="34"/>
      <c r="L37" s="26"/>
      <c r="M37" s="26"/>
      <c r="N37" s="26"/>
      <c r="O37" s="35"/>
      <c r="P37" s="35"/>
      <c r="Q37" s="35"/>
      <c r="R37" s="27"/>
      <c r="S37" s="28"/>
    </row>
    <row r="38" spans="1:19" ht="15" x14ac:dyDescent="0.2">
      <c r="A38" s="41" t="s">
        <v>29</v>
      </c>
      <c r="B38" s="1" t="s">
        <v>35</v>
      </c>
      <c r="C38" s="1"/>
      <c r="D38" s="31"/>
      <c r="E38" s="1"/>
      <c r="F38" s="1"/>
      <c r="P38" s="29"/>
      <c r="Q38" s="29"/>
      <c r="R38" s="30"/>
      <c r="S38" s="28"/>
    </row>
    <row r="39" spans="1:19" x14ac:dyDescent="0.2">
      <c r="B39" s="1"/>
      <c r="C39" s="1"/>
      <c r="D39" s="41" t="s">
        <v>34</v>
      </c>
      <c r="E39" s="1" t="s">
        <v>18</v>
      </c>
      <c r="F39" s="1"/>
    </row>
    <row r="40" spans="1:19" x14ac:dyDescent="0.2">
      <c r="B40" s="1"/>
      <c r="C40" s="1"/>
      <c r="D40" s="41" t="s">
        <v>30</v>
      </c>
      <c r="E40" s="1" t="s">
        <v>19</v>
      </c>
      <c r="F40" s="1"/>
    </row>
    <row r="41" spans="1:19" x14ac:dyDescent="0.2">
      <c r="B41" s="1"/>
      <c r="C41" s="1"/>
      <c r="D41" s="41" t="s">
        <v>31</v>
      </c>
      <c r="E41" s="1" t="s">
        <v>20</v>
      </c>
      <c r="F41" s="1"/>
    </row>
    <row r="42" spans="1:19" x14ac:dyDescent="0.2">
      <c r="B42" s="1"/>
      <c r="C42" s="1"/>
      <c r="D42" s="41" t="s">
        <v>32</v>
      </c>
      <c r="E42" s="1" t="s">
        <v>21</v>
      </c>
      <c r="F42" s="1"/>
    </row>
    <row r="43" spans="1:19" x14ac:dyDescent="0.2">
      <c r="B43" s="1"/>
      <c r="C43" s="1"/>
      <c r="D43" s="41" t="s">
        <v>33</v>
      </c>
      <c r="E43" s="1" t="s">
        <v>22</v>
      </c>
      <c r="F43" s="1"/>
    </row>
  </sheetData>
  <printOptions horizontalCentered="1"/>
  <pageMargins left="0" right="0" top="0.98425196850393704" bottom="0.98425196850393704" header="0.51181102362204722" footer="0.51181102362204722"/>
  <pageSetup paperSize="9" scale="53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FBA7-700D-4277-9B21-30C877BAA77A}">
  <sheetPr>
    <pageSetUpPr fitToPage="1"/>
  </sheetPr>
  <dimension ref="A1:S43"/>
  <sheetViews>
    <sheetView view="pageBreakPreview" zoomScaleSheetLayoutView="100" workbookViewId="0">
      <selection activeCell="F13" sqref="F13"/>
    </sheetView>
  </sheetViews>
  <sheetFormatPr defaultColWidth="12.28515625" defaultRowHeight="12.75" x14ac:dyDescent="0.2"/>
  <cols>
    <col min="1" max="1" width="22.5703125" style="6" customWidth="1"/>
    <col min="2" max="2" width="13.7109375" style="6" customWidth="1"/>
    <col min="3" max="4" width="9.7109375" style="6" bestFit="1" customWidth="1"/>
    <col min="5" max="5" width="14.28515625" style="6" customWidth="1"/>
    <col min="6" max="8" width="14.85546875" style="6" customWidth="1"/>
    <col min="9" max="9" width="16" style="6" customWidth="1"/>
    <col min="10" max="10" width="11.28515625" style="6" bestFit="1" customWidth="1"/>
    <col min="11" max="11" width="12.28515625" style="6" customWidth="1"/>
    <col min="12" max="12" width="14.42578125" style="6" customWidth="1"/>
    <col min="13" max="13" width="6" style="6" customWidth="1"/>
    <col min="14" max="14" width="12.42578125" style="6" bestFit="1" customWidth="1"/>
    <col min="15" max="15" width="13.85546875" style="6" customWidth="1"/>
    <col min="16" max="16" width="9.42578125" style="6" bestFit="1" customWidth="1"/>
    <col min="17" max="17" width="11.28515625" style="6" bestFit="1" customWidth="1"/>
    <col min="18" max="18" width="16.42578125" style="6" bestFit="1" customWidth="1"/>
    <col min="19" max="16384" width="12.28515625" style="6"/>
  </cols>
  <sheetData>
    <row r="1" spans="1:19" s="1" customFormat="1" ht="14.25" x14ac:dyDescent="0.2">
      <c r="A1" s="11" t="s">
        <v>24</v>
      </c>
      <c r="B1" s="11"/>
      <c r="C1" s="11"/>
      <c r="D1" s="11"/>
      <c r="E1" s="11"/>
      <c r="F1" s="11"/>
      <c r="G1" s="11"/>
      <c r="J1" s="4"/>
      <c r="K1" s="2"/>
    </row>
    <row r="2" spans="1:19" s="1" customFormat="1" ht="14.25" x14ac:dyDescent="0.2">
      <c r="A2" s="5"/>
      <c r="B2" s="11" t="s">
        <v>4</v>
      </c>
      <c r="C2" s="11"/>
      <c r="D2" s="11"/>
      <c r="E2" s="11"/>
      <c r="F2" s="11"/>
      <c r="G2" s="11"/>
      <c r="H2" s="11"/>
      <c r="I2" s="11"/>
      <c r="J2" s="9"/>
      <c r="L2" s="36">
        <v>0.83330000000000004</v>
      </c>
      <c r="M2" s="9"/>
      <c r="N2" s="2"/>
      <c r="O2" s="2"/>
      <c r="P2" s="3"/>
    </row>
    <row r="4" spans="1:19" ht="29.25" customHeight="1" x14ac:dyDescent="0.2">
      <c r="B4" s="14"/>
      <c r="C4" s="14"/>
      <c r="D4" s="14"/>
      <c r="F4" s="15"/>
      <c r="G4" s="15"/>
      <c r="H4" s="15"/>
      <c r="I4" s="15"/>
      <c r="J4" s="14"/>
      <c r="L4" s="38" t="s">
        <v>41</v>
      </c>
      <c r="M4" s="38"/>
      <c r="N4" s="16"/>
      <c r="O4" s="13"/>
      <c r="P4" s="14"/>
      <c r="Q4" s="14"/>
      <c r="R4" s="14"/>
    </row>
    <row r="5" spans="1:19" ht="67.5" x14ac:dyDescent="0.2">
      <c r="A5" s="17" t="s">
        <v>13</v>
      </c>
      <c r="B5" s="18" t="s">
        <v>7</v>
      </c>
      <c r="C5" s="39" t="s">
        <v>5</v>
      </c>
      <c r="D5" s="17" t="s">
        <v>9</v>
      </c>
      <c r="E5" s="18" t="s">
        <v>6</v>
      </c>
      <c r="F5" s="17" t="s">
        <v>0</v>
      </c>
      <c r="G5" s="10" t="s">
        <v>39</v>
      </c>
      <c r="H5" s="10" t="s">
        <v>10</v>
      </c>
      <c r="I5" s="10" t="s">
        <v>23</v>
      </c>
      <c r="J5" s="18" t="s">
        <v>12</v>
      </c>
      <c r="K5" s="18" t="s">
        <v>14</v>
      </c>
      <c r="L5" s="18" t="s">
        <v>11</v>
      </c>
      <c r="M5" s="42"/>
      <c r="N5" s="19" t="s">
        <v>40</v>
      </c>
      <c r="O5" s="19" t="s">
        <v>8</v>
      </c>
      <c r="P5" s="20" t="s">
        <v>5</v>
      </c>
      <c r="Q5" s="19" t="s">
        <v>15</v>
      </c>
      <c r="R5" s="21"/>
    </row>
    <row r="6" spans="1:19" ht="9.7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S6" s="22"/>
    </row>
    <row r="7" spans="1:19" ht="15" x14ac:dyDescent="0.2">
      <c r="A7" s="20" t="s">
        <v>16</v>
      </c>
      <c r="B7" s="23">
        <f>ROUND(O7/12*$L$2,2)</f>
        <v>1348.15</v>
      </c>
      <c r="C7" s="23"/>
      <c r="D7" s="23">
        <f>ROUND((B7+C7)/12,2)</f>
        <v>112.35</v>
      </c>
      <c r="E7" s="23">
        <f>ROUND(Q7/12*$L$2,2)</f>
        <v>114.33</v>
      </c>
      <c r="F7" s="23">
        <f>SUM(B7:E7)</f>
        <v>1574.83</v>
      </c>
      <c r="G7" s="23"/>
      <c r="H7" s="8">
        <f>ROUND(140*$L$2,2)</f>
        <v>116.66</v>
      </c>
      <c r="I7" s="8">
        <f>ROUND(600/12,2)</f>
        <v>50</v>
      </c>
      <c r="J7" s="7">
        <f>ROUND(F7+G7+H7+I7-(F7)*2%,2)</f>
        <v>1709.99</v>
      </c>
      <c r="K7" s="7">
        <f>ROUND((F7)*40.38%+(+H7+I7)*32.7%+(F7+G7+H7+I7)*1.61%,2)</f>
        <v>718.45</v>
      </c>
      <c r="L7" s="25">
        <f>J7+K7</f>
        <v>2428.44</v>
      </c>
      <c r="M7" s="26"/>
      <c r="N7" s="26"/>
      <c r="O7" s="24">
        <v>19414.099999999999</v>
      </c>
      <c r="P7" s="24"/>
      <c r="Q7" s="37">
        <v>1646.36</v>
      </c>
      <c r="R7" s="27"/>
      <c r="S7" s="28"/>
    </row>
    <row r="8" spans="1:19" ht="15" x14ac:dyDescent="0.2">
      <c r="A8" s="20" t="s">
        <v>17</v>
      </c>
      <c r="B8" s="23">
        <f>ROUND(O8/12*$L$2,2)</f>
        <v>1479.58</v>
      </c>
      <c r="C8" s="23"/>
      <c r="D8" s="23">
        <f t="shared" ref="D8:D11" si="0">ROUND((B8+C8)/12,2)</f>
        <v>123.3</v>
      </c>
      <c r="E8" s="23">
        <f t="shared" ref="E8:E11" si="1">ROUND(Q8/12*$L$2,2)</f>
        <v>114.33</v>
      </c>
      <c r="F8" s="23">
        <f>SUM(B8:E8)</f>
        <v>1717.2099999999998</v>
      </c>
      <c r="G8" s="23"/>
      <c r="H8" s="8">
        <f t="shared" ref="H8:H10" si="2">ROUND(140*$L$2,2)</f>
        <v>116.66</v>
      </c>
      <c r="I8" s="8">
        <f t="shared" ref="I8:I10" si="3">ROUND(600/12,2)</f>
        <v>50</v>
      </c>
      <c r="J8" s="7">
        <f t="shared" ref="J8:J11" si="4">ROUND(F8+G8+H8+I8-(F8)*2%,2)</f>
        <v>1849.53</v>
      </c>
      <c r="K8" s="7">
        <f t="shared" ref="K8:K10" si="5">ROUND((F8)*40.38%+(+H8+I8)*32.7%+(F8+G8+H8+I8)*1.61%,2)</f>
        <v>778.24</v>
      </c>
      <c r="L8" s="25">
        <f t="shared" ref="L8" si="6">J8+K8</f>
        <v>2627.77</v>
      </c>
      <c r="M8" s="26"/>
      <c r="N8" s="26"/>
      <c r="O8" s="24">
        <v>21306.79</v>
      </c>
      <c r="P8" s="24"/>
      <c r="Q8" s="37">
        <v>1646.36</v>
      </c>
      <c r="R8" s="27"/>
      <c r="S8" s="28"/>
    </row>
    <row r="9" spans="1:19" ht="15" x14ac:dyDescent="0.2">
      <c r="A9" s="20" t="s">
        <v>1</v>
      </c>
      <c r="B9" s="23">
        <f>ROUND(O9/12*$L$2,2)</f>
        <v>1525.78</v>
      </c>
      <c r="C9" s="23"/>
      <c r="D9" s="23">
        <f t="shared" si="0"/>
        <v>127.15</v>
      </c>
      <c r="E9" s="23">
        <f t="shared" si="1"/>
        <v>151.88</v>
      </c>
      <c r="F9" s="23">
        <f>SUM(B9:E9)</f>
        <v>1804.81</v>
      </c>
      <c r="G9" s="23"/>
      <c r="H9" s="8">
        <f t="shared" si="2"/>
        <v>116.66</v>
      </c>
      <c r="I9" s="8">
        <f t="shared" si="3"/>
        <v>50</v>
      </c>
      <c r="J9" s="7">
        <f t="shared" si="4"/>
        <v>1935.37</v>
      </c>
      <c r="K9" s="7">
        <f t="shared" si="5"/>
        <v>815.02</v>
      </c>
      <c r="L9" s="25">
        <f>J9+K9</f>
        <v>2750.39</v>
      </c>
      <c r="M9" s="26"/>
      <c r="N9" s="26"/>
      <c r="O9" s="24">
        <v>21972.04</v>
      </c>
      <c r="P9" s="24"/>
      <c r="Q9" s="37">
        <v>2187.17</v>
      </c>
      <c r="R9" s="27"/>
      <c r="S9" s="28"/>
    </row>
    <row r="10" spans="1:19" ht="15" x14ac:dyDescent="0.2">
      <c r="A10" s="20" t="s">
        <v>2</v>
      </c>
      <c r="B10" s="23">
        <f>ROUND(O10/12*$L$2,2)</f>
        <v>1771.16</v>
      </c>
      <c r="C10" s="23"/>
      <c r="D10" s="23">
        <f t="shared" si="0"/>
        <v>147.6</v>
      </c>
      <c r="E10" s="23">
        <f t="shared" si="1"/>
        <v>210.16</v>
      </c>
      <c r="F10" s="23">
        <f>SUM(B10:E10)</f>
        <v>2128.92</v>
      </c>
      <c r="G10" s="23"/>
      <c r="H10" s="8">
        <f t="shared" si="2"/>
        <v>116.66</v>
      </c>
      <c r="I10" s="8">
        <f t="shared" si="3"/>
        <v>50</v>
      </c>
      <c r="J10" s="7">
        <f t="shared" si="4"/>
        <v>2253</v>
      </c>
      <c r="K10" s="7">
        <f t="shared" si="5"/>
        <v>951.11</v>
      </c>
      <c r="L10" s="25">
        <f>J10+K10</f>
        <v>3204.11</v>
      </c>
      <c r="M10" s="26"/>
      <c r="N10" s="26"/>
      <c r="O10" s="24">
        <v>25505.79</v>
      </c>
      <c r="P10" s="24"/>
      <c r="Q10" s="37">
        <v>3026.46</v>
      </c>
      <c r="R10" s="27"/>
      <c r="S10" s="28"/>
    </row>
    <row r="11" spans="1:19" ht="15" x14ac:dyDescent="0.2">
      <c r="A11" s="20" t="s">
        <v>3</v>
      </c>
      <c r="B11" s="23">
        <f>ROUND(O11/12*$L$2,2)</f>
        <v>1992.53</v>
      </c>
      <c r="C11" s="23"/>
      <c r="D11" s="23">
        <f t="shared" si="0"/>
        <v>166.04</v>
      </c>
      <c r="E11" s="23">
        <f t="shared" si="1"/>
        <v>248.41</v>
      </c>
      <c r="F11" s="23">
        <f>SUM(B11:E11)</f>
        <v>2406.98</v>
      </c>
      <c r="G11" s="8">
        <f>ROUND(((N11)*$L$2+(N11)*0.3)/12,2)</f>
        <v>292.67</v>
      </c>
      <c r="H11" s="23"/>
      <c r="I11" s="8"/>
      <c r="J11" s="7">
        <f t="shared" si="4"/>
        <v>2651.51</v>
      </c>
      <c r="K11" s="7">
        <f>ROUND((F11)*40.38%+(+G11+H11+I11)*32.7%+(F11+G11+H11+I11)*1.61%+((B11+C11)-556.86*$L$2)*4.36%,2)</f>
        <v>1177.75</v>
      </c>
      <c r="L11" s="25">
        <f>J11+K11</f>
        <v>3829.26</v>
      </c>
      <c r="M11" s="26"/>
      <c r="N11" s="24">
        <v>3099</v>
      </c>
      <c r="O11" s="24">
        <v>28693.65</v>
      </c>
      <c r="P11" s="24"/>
      <c r="Q11" s="37">
        <v>3577.2</v>
      </c>
      <c r="R11" s="27"/>
      <c r="S11" s="28"/>
    </row>
    <row r="12" spans="1:19" ht="15" x14ac:dyDescent="0.2">
      <c r="B12" s="32"/>
      <c r="C12" s="32"/>
      <c r="D12" s="32"/>
      <c r="E12" s="32"/>
      <c r="F12" s="32"/>
      <c r="G12" s="33"/>
      <c r="H12" s="32"/>
      <c r="I12" s="33"/>
      <c r="J12" s="34"/>
      <c r="K12" s="34"/>
      <c r="L12" s="26"/>
      <c r="M12" s="26"/>
      <c r="N12" s="26"/>
      <c r="O12" s="35"/>
      <c r="P12" s="35"/>
      <c r="Q12" s="35"/>
      <c r="R12" s="27"/>
      <c r="S12" s="28"/>
    </row>
    <row r="13" spans="1:19" ht="29.25" customHeight="1" x14ac:dyDescent="0.2">
      <c r="B13" s="14"/>
      <c r="C13" s="14"/>
      <c r="D13" s="14"/>
      <c r="F13" s="15"/>
      <c r="G13" s="15"/>
      <c r="H13" s="15"/>
      <c r="I13" s="15"/>
      <c r="J13" s="14"/>
      <c r="L13" s="38" t="s">
        <v>42</v>
      </c>
      <c r="M13" s="38"/>
      <c r="N13" s="16"/>
      <c r="O13" s="13"/>
      <c r="P13" s="14"/>
      <c r="Q13" s="14"/>
      <c r="R13" s="14"/>
    </row>
    <row r="14" spans="1:19" ht="67.5" x14ac:dyDescent="0.2">
      <c r="A14" s="17" t="s">
        <v>13</v>
      </c>
      <c r="B14" s="18" t="s">
        <v>7</v>
      </c>
      <c r="C14" s="39" t="s">
        <v>38</v>
      </c>
      <c r="D14" s="17" t="s">
        <v>9</v>
      </c>
      <c r="E14" s="18" t="s">
        <v>6</v>
      </c>
      <c r="F14" s="17" t="s">
        <v>0</v>
      </c>
      <c r="G14" s="10" t="s">
        <v>39</v>
      </c>
      <c r="H14" s="10" t="s">
        <v>10</v>
      </c>
      <c r="I14" s="10" t="s">
        <v>23</v>
      </c>
      <c r="J14" s="18" t="s">
        <v>12</v>
      </c>
      <c r="K14" s="18" t="s">
        <v>14</v>
      </c>
      <c r="L14" s="18" t="s">
        <v>11</v>
      </c>
      <c r="M14" s="42"/>
      <c r="N14" s="19" t="s">
        <v>40</v>
      </c>
      <c r="O14" s="19" t="s">
        <v>8</v>
      </c>
      <c r="P14" s="20" t="s">
        <v>5</v>
      </c>
      <c r="Q14" s="19" t="s">
        <v>15</v>
      </c>
      <c r="R14" s="21"/>
    </row>
    <row r="15" spans="1:19" ht="9.7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S15" s="22"/>
    </row>
    <row r="16" spans="1:19" ht="15" x14ac:dyDescent="0.2">
      <c r="A16" s="40" t="s">
        <v>25</v>
      </c>
      <c r="B16" s="23">
        <f>ROUND(O16/12*$L$2,2)</f>
        <v>1479.58</v>
      </c>
      <c r="C16" s="23">
        <f>ROUND((P16)/12*$L$2,2)</f>
        <v>0</v>
      </c>
      <c r="D16" s="23">
        <f t="shared" ref="D16:D19" si="7">ROUND((B16+C16)/12,2)</f>
        <v>123.3</v>
      </c>
      <c r="E16" s="23">
        <f t="shared" ref="E16:E19" si="8">ROUND(Q16/12*$L$2,2)</f>
        <v>114.33</v>
      </c>
      <c r="F16" s="23">
        <f>SUM(B16:E16)</f>
        <v>1717.2099999999998</v>
      </c>
      <c r="G16" s="23"/>
      <c r="H16" s="8">
        <f t="shared" ref="H16:H18" si="9">ROUND(140*$L$2,2)</f>
        <v>116.66</v>
      </c>
      <c r="I16" s="8">
        <f t="shared" ref="I16:I18" si="10">ROUND(600/12,2)</f>
        <v>50</v>
      </c>
      <c r="J16" s="7">
        <f t="shared" ref="J16:J19" si="11">ROUND(F16+G16+H16+I16-(F16)*2%,2)</f>
        <v>1849.53</v>
      </c>
      <c r="K16" s="7">
        <f t="shared" ref="K16:K18" si="12">ROUND((F16)*40.38%+(+H16+I16)*32.7%+(F16+G16+H16+I16)*1.61%,2)</f>
        <v>778.24</v>
      </c>
      <c r="L16" s="25">
        <f t="shared" ref="L16" si="13">J16+K16</f>
        <v>2627.77</v>
      </c>
      <c r="M16" s="26"/>
      <c r="N16" s="26"/>
      <c r="O16" s="24">
        <v>21306.79</v>
      </c>
      <c r="P16" s="37"/>
      <c r="Q16" s="37">
        <v>1646.36</v>
      </c>
      <c r="R16" s="27"/>
      <c r="S16" s="28"/>
    </row>
    <row r="17" spans="1:19" ht="15" x14ac:dyDescent="0.2">
      <c r="A17" s="40" t="s">
        <v>26</v>
      </c>
      <c r="B17" s="23">
        <f>ROUND(O17/12*$L$2,2)</f>
        <v>1552.58</v>
      </c>
      <c r="C17" s="23">
        <f t="shared" ref="C17:C19" si="14">ROUND((P17)/12*$L$2,2)</f>
        <v>0</v>
      </c>
      <c r="D17" s="23">
        <f t="shared" si="7"/>
        <v>129.38</v>
      </c>
      <c r="E17" s="23">
        <f t="shared" si="8"/>
        <v>151.88</v>
      </c>
      <c r="F17" s="23">
        <f>SUM(B17:E17)</f>
        <v>1833.8400000000001</v>
      </c>
      <c r="G17" s="23"/>
      <c r="H17" s="8">
        <f t="shared" si="9"/>
        <v>116.66</v>
      </c>
      <c r="I17" s="8">
        <f t="shared" si="10"/>
        <v>50</v>
      </c>
      <c r="J17" s="7">
        <f t="shared" si="11"/>
        <v>1963.82</v>
      </c>
      <c r="K17" s="7">
        <f t="shared" si="12"/>
        <v>827.21</v>
      </c>
      <c r="L17" s="25">
        <f>J17+K17</f>
        <v>2791.0299999999997</v>
      </c>
      <c r="M17" s="26"/>
      <c r="N17" s="26"/>
      <c r="O17" s="24">
        <v>22358.04</v>
      </c>
      <c r="P17" s="37"/>
      <c r="Q17" s="37">
        <v>2187.17</v>
      </c>
      <c r="R17" s="27"/>
      <c r="S17" s="28"/>
    </row>
    <row r="18" spans="1:19" ht="15" x14ac:dyDescent="0.2">
      <c r="A18" s="40" t="s">
        <v>27</v>
      </c>
      <c r="B18" s="23">
        <f>ROUND(O18/12*$L$2,2)</f>
        <v>1771.16</v>
      </c>
      <c r="C18" s="23">
        <f t="shared" si="14"/>
        <v>0</v>
      </c>
      <c r="D18" s="23">
        <f t="shared" si="7"/>
        <v>147.6</v>
      </c>
      <c r="E18" s="23">
        <f t="shared" si="8"/>
        <v>210.16</v>
      </c>
      <c r="F18" s="23">
        <f>SUM(B18:E18)</f>
        <v>2128.92</v>
      </c>
      <c r="G18" s="23"/>
      <c r="H18" s="8">
        <f t="shared" si="9"/>
        <v>116.66</v>
      </c>
      <c r="I18" s="8">
        <f t="shared" si="10"/>
        <v>50</v>
      </c>
      <c r="J18" s="7">
        <f t="shared" si="11"/>
        <v>2253</v>
      </c>
      <c r="K18" s="7">
        <f t="shared" si="12"/>
        <v>951.11</v>
      </c>
      <c r="L18" s="25">
        <f>J18+K18</f>
        <v>3204.11</v>
      </c>
      <c r="M18" s="26"/>
      <c r="N18" s="26"/>
      <c r="O18" s="24">
        <v>25505.79</v>
      </c>
      <c r="P18" s="37"/>
      <c r="Q18" s="37">
        <v>3026.46</v>
      </c>
      <c r="R18" s="27"/>
      <c r="S18" s="28"/>
    </row>
    <row r="19" spans="1:19" ht="15" x14ac:dyDescent="0.2">
      <c r="A19" s="40" t="s">
        <v>28</v>
      </c>
      <c r="B19" s="23">
        <f>ROUND(O19/12*$L$2,2)</f>
        <v>1992.53</v>
      </c>
      <c r="C19" s="23">
        <f t="shared" si="14"/>
        <v>0</v>
      </c>
      <c r="D19" s="23">
        <f t="shared" si="7"/>
        <v>166.04</v>
      </c>
      <c r="E19" s="23">
        <f t="shared" si="8"/>
        <v>248.41</v>
      </c>
      <c r="F19" s="23">
        <f>SUM(B19:E19)</f>
        <v>2406.98</v>
      </c>
      <c r="G19" s="8">
        <f>ROUND(((N19)*$L$2+(N19)*0.3)/12,2)</f>
        <v>292.67</v>
      </c>
      <c r="H19" s="23"/>
      <c r="I19" s="8"/>
      <c r="J19" s="7">
        <f t="shared" si="11"/>
        <v>2651.51</v>
      </c>
      <c r="K19" s="7">
        <f>ROUND((F19)*40.38%+(+G19+H19+I19)*32.7%+(F19+G19+H19+I19)*1.61%+((B19+C19)-556.86*$L$2)*4.36%,2)</f>
        <v>1177.75</v>
      </c>
      <c r="L19" s="25">
        <f>J19+K19</f>
        <v>3829.26</v>
      </c>
      <c r="M19" s="26"/>
      <c r="N19" s="24">
        <v>3099</v>
      </c>
      <c r="O19" s="24">
        <v>28693.65</v>
      </c>
      <c r="P19" s="37"/>
      <c r="Q19" s="37">
        <v>3577.2</v>
      </c>
      <c r="R19" s="27"/>
      <c r="S19" s="28"/>
    </row>
    <row r="20" spans="1:19" ht="15" x14ac:dyDescent="0.2">
      <c r="B20" s="32"/>
      <c r="C20" s="32"/>
      <c r="D20" s="32"/>
      <c r="E20" s="32"/>
      <c r="F20" s="32"/>
      <c r="G20" s="33"/>
      <c r="H20" s="32"/>
      <c r="I20" s="33"/>
      <c r="J20" s="34"/>
      <c r="K20" s="34"/>
      <c r="L20" s="26"/>
      <c r="M20" s="26"/>
      <c r="N20" s="26"/>
      <c r="O20" s="35"/>
      <c r="P20" s="35"/>
      <c r="Q20" s="35"/>
      <c r="R20" s="27"/>
      <c r="S20" s="28"/>
    </row>
    <row r="21" spans="1:19" ht="29.25" customHeight="1" x14ac:dyDescent="0.2">
      <c r="B21" s="14"/>
      <c r="C21" s="14"/>
      <c r="D21" s="14"/>
      <c r="F21" s="15"/>
      <c r="G21" s="15"/>
      <c r="H21" s="15"/>
      <c r="I21" s="15"/>
      <c r="J21" s="14"/>
      <c r="L21" s="38" t="s">
        <v>36</v>
      </c>
      <c r="M21" s="38"/>
      <c r="N21" s="16"/>
      <c r="O21" s="13"/>
      <c r="P21" s="14"/>
      <c r="Q21" s="14"/>
      <c r="R21" s="14"/>
    </row>
    <row r="22" spans="1:19" ht="67.5" x14ac:dyDescent="0.2">
      <c r="A22" s="17" t="s">
        <v>13</v>
      </c>
      <c r="B22" s="18" t="s">
        <v>7</v>
      </c>
      <c r="C22" s="39" t="s">
        <v>38</v>
      </c>
      <c r="D22" s="17" t="s">
        <v>9</v>
      </c>
      <c r="E22" s="18" t="s">
        <v>6</v>
      </c>
      <c r="F22" s="17" t="s">
        <v>0</v>
      </c>
      <c r="G22" s="10" t="s">
        <v>39</v>
      </c>
      <c r="H22" s="10" t="s">
        <v>10</v>
      </c>
      <c r="I22" s="10" t="s">
        <v>23</v>
      </c>
      <c r="J22" s="18" t="s">
        <v>12</v>
      </c>
      <c r="K22" s="18" t="s">
        <v>14</v>
      </c>
      <c r="L22" s="18" t="s">
        <v>11</v>
      </c>
      <c r="M22" s="42"/>
      <c r="N22" s="19" t="s">
        <v>40</v>
      </c>
      <c r="O22" s="19" t="s">
        <v>8</v>
      </c>
      <c r="P22" s="20" t="s">
        <v>5</v>
      </c>
      <c r="Q22" s="19" t="s">
        <v>15</v>
      </c>
      <c r="R22" s="21"/>
    </row>
    <row r="23" spans="1:19" ht="9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S23" s="22"/>
    </row>
    <row r="24" spans="1:19" ht="15" x14ac:dyDescent="0.2">
      <c r="A24" s="40" t="s">
        <v>25</v>
      </c>
      <c r="B24" s="23">
        <f>ROUND(O24/12*$L$2,2)</f>
        <v>1479.58</v>
      </c>
      <c r="C24" s="23">
        <f>ROUND((P24)/12*$L$2,2)</f>
        <v>8.8699999999999992</v>
      </c>
      <c r="D24" s="23">
        <f t="shared" ref="D24:D27" si="15">ROUND((B24+C24)/12,2)</f>
        <v>124.04</v>
      </c>
      <c r="E24" s="23">
        <f t="shared" ref="E24:E27" si="16">ROUND(Q24/12*$L$2,2)</f>
        <v>114.33</v>
      </c>
      <c r="F24" s="23">
        <f>SUM(B24:E24)</f>
        <v>1726.8199999999997</v>
      </c>
      <c r="G24" s="23"/>
      <c r="H24" s="8">
        <f t="shared" ref="H24:H26" si="17">ROUND(140*$L$2,2)</f>
        <v>116.66</v>
      </c>
      <c r="I24" s="8">
        <f t="shared" ref="I24:I26" si="18">ROUND(600/12,2)</f>
        <v>50</v>
      </c>
      <c r="J24" s="7">
        <f t="shared" ref="J24:J27" si="19">ROUND(F24+G24+H24+I24-(F24)*2%,2)</f>
        <v>1858.94</v>
      </c>
      <c r="K24" s="7">
        <f t="shared" ref="K24:K26" si="20">ROUND((F24)*40.38%+(+H24+I24)*32.7%+(F24+G24+H24+I24)*1.61%,2)</f>
        <v>782.27</v>
      </c>
      <c r="L24" s="25">
        <f t="shared" ref="L24" si="21">J24+K24</f>
        <v>2641.21</v>
      </c>
      <c r="M24" s="26"/>
      <c r="N24" s="26"/>
      <c r="O24" s="24">
        <v>21306.79</v>
      </c>
      <c r="P24" s="37">
        <f>10.65*12</f>
        <v>127.80000000000001</v>
      </c>
      <c r="Q24" s="37">
        <v>1646.36</v>
      </c>
      <c r="R24" s="27"/>
      <c r="S24" s="28"/>
    </row>
    <row r="25" spans="1:19" ht="15" x14ac:dyDescent="0.2">
      <c r="A25" s="40" t="s">
        <v>26</v>
      </c>
      <c r="B25" s="23">
        <f>ROUND(O25/12*$L$2,2)</f>
        <v>1552.58</v>
      </c>
      <c r="C25" s="23">
        <f t="shared" ref="C25:C27" si="22">ROUND((P25)/12*$L$2,2)</f>
        <v>9.32</v>
      </c>
      <c r="D25" s="23">
        <f t="shared" si="15"/>
        <v>130.16</v>
      </c>
      <c r="E25" s="23">
        <f t="shared" si="16"/>
        <v>151.88</v>
      </c>
      <c r="F25" s="23">
        <f>SUM(B25:E25)</f>
        <v>1843.94</v>
      </c>
      <c r="G25" s="23"/>
      <c r="H25" s="8">
        <f t="shared" si="17"/>
        <v>116.66</v>
      </c>
      <c r="I25" s="8">
        <f t="shared" si="18"/>
        <v>50</v>
      </c>
      <c r="J25" s="7">
        <f t="shared" si="19"/>
        <v>1973.72</v>
      </c>
      <c r="K25" s="7">
        <f t="shared" si="20"/>
        <v>831.45</v>
      </c>
      <c r="L25" s="25">
        <f>J25+K25</f>
        <v>2805.17</v>
      </c>
      <c r="M25" s="26"/>
      <c r="N25" s="26"/>
      <c r="O25" s="24">
        <v>22358.04</v>
      </c>
      <c r="P25" s="37">
        <f>11.18*12</f>
        <v>134.16</v>
      </c>
      <c r="Q25" s="37">
        <v>2187.17</v>
      </c>
      <c r="R25" s="27"/>
      <c r="S25" s="28"/>
    </row>
    <row r="26" spans="1:19" ht="15" x14ac:dyDescent="0.2">
      <c r="A26" s="40" t="s">
        <v>27</v>
      </c>
      <c r="B26" s="23">
        <f>ROUND(O26/12*$L$2,2)</f>
        <v>1771.16</v>
      </c>
      <c r="C26" s="23">
        <f t="shared" si="22"/>
        <v>10.62</v>
      </c>
      <c r="D26" s="23">
        <f t="shared" si="15"/>
        <v>148.47999999999999</v>
      </c>
      <c r="E26" s="23">
        <f t="shared" si="16"/>
        <v>210.16</v>
      </c>
      <c r="F26" s="23">
        <f>SUM(B26:E26)</f>
        <v>2140.42</v>
      </c>
      <c r="G26" s="23"/>
      <c r="H26" s="8">
        <f t="shared" si="17"/>
        <v>116.66</v>
      </c>
      <c r="I26" s="8">
        <f t="shared" si="18"/>
        <v>50</v>
      </c>
      <c r="J26" s="7">
        <f t="shared" si="19"/>
        <v>2264.27</v>
      </c>
      <c r="K26" s="7">
        <f t="shared" si="20"/>
        <v>955.94</v>
      </c>
      <c r="L26" s="25">
        <f>J26+K26</f>
        <v>3220.21</v>
      </c>
      <c r="M26" s="26"/>
      <c r="N26" s="26"/>
      <c r="O26" s="24">
        <v>25505.79</v>
      </c>
      <c r="P26" s="37">
        <f>12.75*12</f>
        <v>153</v>
      </c>
      <c r="Q26" s="37">
        <v>3026.46</v>
      </c>
      <c r="R26" s="27"/>
      <c r="S26" s="28"/>
    </row>
    <row r="27" spans="1:19" ht="15" x14ac:dyDescent="0.2">
      <c r="A27" s="40" t="s">
        <v>28</v>
      </c>
      <c r="B27" s="23">
        <f>ROUND(O27/12*$L$2,2)</f>
        <v>1992.53</v>
      </c>
      <c r="C27" s="23">
        <f t="shared" si="22"/>
        <v>11.96</v>
      </c>
      <c r="D27" s="23">
        <f t="shared" si="15"/>
        <v>167.04</v>
      </c>
      <c r="E27" s="23">
        <f t="shared" si="16"/>
        <v>248.41</v>
      </c>
      <c r="F27" s="23">
        <f>SUM(B27:E27)</f>
        <v>2419.94</v>
      </c>
      <c r="G27" s="8">
        <f>ROUND(((N27)*$L$2+(N27)*0.3)/12,2)</f>
        <v>292.67</v>
      </c>
      <c r="H27" s="23"/>
      <c r="I27" s="8"/>
      <c r="J27" s="7">
        <f t="shared" si="19"/>
        <v>2664.21</v>
      </c>
      <c r="K27" s="7">
        <f>ROUND((F27)*40.38%+(+G27+H27+I27)*32.7%+(F27+G27+H27+I27)*1.61%+((B27+C27)-556.86*$L$2)*4.36%,2)</f>
        <v>1183.71</v>
      </c>
      <c r="L27" s="25">
        <f>J27+K27</f>
        <v>3847.92</v>
      </c>
      <c r="M27" s="26"/>
      <c r="N27" s="24">
        <v>3099</v>
      </c>
      <c r="O27" s="24">
        <v>28693.65</v>
      </c>
      <c r="P27" s="37">
        <f>14.35*12</f>
        <v>172.2</v>
      </c>
      <c r="Q27" s="37">
        <v>3577.2</v>
      </c>
      <c r="R27" s="27"/>
      <c r="S27" s="28"/>
    </row>
    <row r="28" spans="1:19" ht="15" x14ac:dyDescent="0.2">
      <c r="B28" s="32"/>
      <c r="C28" s="32"/>
      <c r="D28" s="32"/>
      <c r="E28" s="32"/>
      <c r="F28" s="32"/>
      <c r="G28" s="33"/>
      <c r="H28" s="32"/>
      <c r="I28" s="33"/>
      <c r="J28" s="34"/>
      <c r="K28" s="34"/>
      <c r="L28" s="26"/>
      <c r="M28" s="26"/>
      <c r="N28" s="26"/>
      <c r="O28" s="35"/>
      <c r="P28" s="35"/>
      <c r="Q28" s="35"/>
      <c r="R28" s="27"/>
      <c r="S28" s="28"/>
    </row>
    <row r="29" spans="1:19" ht="29.25" customHeight="1" x14ac:dyDescent="0.2">
      <c r="B29" s="14"/>
      <c r="C29" s="14"/>
      <c r="D29" s="14"/>
      <c r="F29" s="15"/>
      <c r="G29" s="15"/>
      <c r="H29" s="15"/>
      <c r="I29" s="15"/>
      <c r="J29" s="14"/>
      <c r="L29" s="38" t="s">
        <v>37</v>
      </c>
      <c r="M29" s="38"/>
      <c r="N29" s="16"/>
      <c r="O29" s="13"/>
      <c r="P29" s="14"/>
      <c r="Q29" s="14"/>
      <c r="R29" s="14"/>
    </row>
    <row r="30" spans="1:19" ht="67.5" x14ac:dyDescent="0.2">
      <c r="A30" s="17" t="s">
        <v>13</v>
      </c>
      <c r="B30" s="18" t="s">
        <v>7</v>
      </c>
      <c r="C30" s="39" t="s">
        <v>38</v>
      </c>
      <c r="D30" s="17" t="s">
        <v>9</v>
      </c>
      <c r="E30" s="18" t="s">
        <v>6</v>
      </c>
      <c r="F30" s="17" t="s">
        <v>0</v>
      </c>
      <c r="G30" s="10" t="s">
        <v>39</v>
      </c>
      <c r="H30" s="10" t="s">
        <v>10</v>
      </c>
      <c r="I30" s="10" t="s">
        <v>23</v>
      </c>
      <c r="J30" s="18" t="s">
        <v>12</v>
      </c>
      <c r="K30" s="18" t="s">
        <v>14</v>
      </c>
      <c r="L30" s="18" t="s">
        <v>11</v>
      </c>
      <c r="M30" s="42"/>
      <c r="N30" s="19" t="s">
        <v>40</v>
      </c>
      <c r="O30" s="19" t="s">
        <v>8</v>
      </c>
      <c r="P30" s="20" t="s">
        <v>5</v>
      </c>
      <c r="Q30" s="19" t="s">
        <v>15</v>
      </c>
      <c r="R30" s="21"/>
    </row>
    <row r="31" spans="1:19" ht="9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S31" s="22"/>
    </row>
    <row r="32" spans="1:19" ht="15" x14ac:dyDescent="0.2">
      <c r="A32" s="40" t="s">
        <v>25</v>
      </c>
      <c r="B32" s="23">
        <f>ROUND(O32/12*$L$2,2)</f>
        <v>1479.58</v>
      </c>
      <c r="C32" s="23">
        <f>ROUND((P32)/12*$L$2,2)</f>
        <v>14.8</v>
      </c>
      <c r="D32" s="23">
        <f t="shared" ref="D32:D35" si="23">ROUND((B32+C32)/12,2)</f>
        <v>124.53</v>
      </c>
      <c r="E32" s="23">
        <f t="shared" ref="E32:E35" si="24">ROUND(Q32/12*$L$2,2)</f>
        <v>114.33</v>
      </c>
      <c r="F32" s="23">
        <f>SUM(B32:E32)</f>
        <v>1733.2399999999998</v>
      </c>
      <c r="G32" s="23"/>
      <c r="H32" s="8">
        <f t="shared" ref="H32:H34" si="25">ROUND(140*$L$2,2)</f>
        <v>116.66</v>
      </c>
      <c r="I32" s="8">
        <f t="shared" ref="I32:I34" si="26">ROUND(600/12,2)</f>
        <v>50</v>
      </c>
      <c r="J32" s="7">
        <f t="shared" ref="J32:J35" si="27">ROUND(F32+G32+H32+I32-(F32)*2%,2)</f>
        <v>1865.24</v>
      </c>
      <c r="K32" s="7">
        <f t="shared" ref="K32:K34" si="28">ROUND((F32)*40.38%+(+H32+I32)*32.7%+(F32+G32+H32+I32)*1.61%,2)</f>
        <v>784.97</v>
      </c>
      <c r="L32" s="25">
        <f t="shared" ref="L32" si="29">J32+K32</f>
        <v>2650.21</v>
      </c>
      <c r="M32" s="26"/>
      <c r="N32" s="26"/>
      <c r="O32" s="24">
        <v>21306.79</v>
      </c>
      <c r="P32" s="37">
        <f>17.76*12</f>
        <v>213.12</v>
      </c>
      <c r="Q32" s="37">
        <v>1646.36</v>
      </c>
      <c r="R32" s="27"/>
      <c r="S32" s="28"/>
    </row>
    <row r="33" spans="1:19" ht="15" x14ac:dyDescent="0.2">
      <c r="A33" s="40" t="s">
        <v>26</v>
      </c>
      <c r="B33" s="23">
        <f>ROUND(O33/12*$L$2,2)</f>
        <v>1552.58</v>
      </c>
      <c r="C33" s="23">
        <f t="shared" ref="C33:C35" si="30">ROUND((P33)/12*$L$2,2)</f>
        <v>15.52</v>
      </c>
      <c r="D33" s="23">
        <f t="shared" si="23"/>
        <v>130.68</v>
      </c>
      <c r="E33" s="23">
        <f t="shared" si="24"/>
        <v>151.88</v>
      </c>
      <c r="F33" s="23">
        <f>SUM(B33:E33)</f>
        <v>1850.6599999999999</v>
      </c>
      <c r="G33" s="23"/>
      <c r="H33" s="8">
        <f t="shared" si="25"/>
        <v>116.66</v>
      </c>
      <c r="I33" s="8">
        <f t="shared" si="26"/>
        <v>50</v>
      </c>
      <c r="J33" s="7">
        <f t="shared" si="27"/>
        <v>1980.31</v>
      </c>
      <c r="K33" s="7">
        <f t="shared" si="28"/>
        <v>834.27</v>
      </c>
      <c r="L33" s="25">
        <f>J33+K33</f>
        <v>2814.58</v>
      </c>
      <c r="M33" s="26"/>
      <c r="N33" s="26"/>
      <c r="O33" s="24">
        <v>22358.04</v>
      </c>
      <c r="P33" s="37">
        <f>18.63*12</f>
        <v>223.56</v>
      </c>
      <c r="Q33" s="37">
        <v>2187.17</v>
      </c>
      <c r="R33" s="27"/>
      <c r="S33" s="28"/>
    </row>
    <row r="34" spans="1:19" ht="15" x14ac:dyDescent="0.2">
      <c r="A34" s="40" t="s">
        <v>27</v>
      </c>
      <c r="B34" s="23">
        <f>ROUND(O34/12*$L$2,2)</f>
        <v>1771.16</v>
      </c>
      <c r="C34" s="23">
        <f t="shared" si="30"/>
        <v>17.71</v>
      </c>
      <c r="D34" s="23">
        <f t="shared" si="23"/>
        <v>149.07</v>
      </c>
      <c r="E34" s="23">
        <f t="shared" si="24"/>
        <v>210.16</v>
      </c>
      <c r="F34" s="23">
        <f>SUM(B34:E34)</f>
        <v>2148.1</v>
      </c>
      <c r="G34" s="23"/>
      <c r="H34" s="8">
        <f t="shared" si="25"/>
        <v>116.66</v>
      </c>
      <c r="I34" s="8">
        <f t="shared" si="26"/>
        <v>50</v>
      </c>
      <c r="J34" s="7">
        <f t="shared" si="27"/>
        <v>2271.8000000000002</v>
      </c>
      <c r="K34" s="7">
        <f t="shared" si="28"/>
        <v>959.17</v>
      </c>
      <c r="L34" s="25">
        <f>J34+K34</f>
        <v>3230.9700000000003</v>
      </c>
      <c r="M34" s="26"/>
      <c r="N34" s="26"/>
      <c r="O34" s="24">
        <v>25505.79</v>
      </c>
      <c r="P34" s="37">
        <f>21.25*12</f>
        <v>255</v>
      </c>
      <c r="Q34" s="37">
        <v>3026.46</v>
      </c>
      <c r="R34" s="27"/>
      <c r="S34" s="28"/>
    </row>
    <row r="35" spans="1:19" ht="15" x14ac:dyDescent="0.2">
      <c r="A35" s="40" t="s">
        <v>28</v>
      </c>
      <c r="B35" s="23">
        <f>ROUND(O35/12*$L$2,2)</f>
        <v>1992.53</v>
      </c>
      <c r="C35" s="23">
        <f t="shared" si="30"/>
        <v>19.920000000000002</v>
      </c>
      <c r="D35" s="23">
        <f t="shared" si="23"/>
        <v>167.7</v>
      </c>
      <c r="E35" s="23">
        <f t="shared" si="24"/>
        <v>248.41</v>
      </c>
      <c r="F35" s="23">
        <f>SUM(B35:E35)</f>
        <v>2428.56</v>
      </c>
      <c r="G35" s="8">
        <f>ROUND(((N35)*$L$2+(N35)*0.3)/12,2)</f>
        <v>292.67</v>
      </c>
      <c r="H35" s="23"/>
      <c r="I35" s="8"/>
      <c r="J35" s="7">
        <f t="shared" si="27"/>
        <v>2672.66</v>
      </c>
      <c r="K35" s="7">
        <f>ROUND((F35)*40.38%+(+G35+H35+I35)*32.7%+(F35+G35+H35+I35)*1.61%+((B35+C35)-556.86*$L$2)*4.36%,2)</f>
        <v>1187.68</v>
      </c>
      <c r="L35" s="25">
        <f>J35+K35</f>
        <v>3860.34</v>
      </c>
      <c r="M35" s="26"/>
      <c r="N35" s="24">
        <v>3099</v>
      </c>
      <c r="O35" s="24">
        <v>28693.65</v>
      </c>
      <c r="P35" s="37">
        <f>23.91*12</f>
        <v>286.92</v>
      </c>
      <c r="Q35" s="37">
        <v>3577.2</v>
      </c>
      <c r="R35" s="27"/>
      <c r="S35" s="28"/>
    </row>
    <row r="36" spans="1:19" ht="15" x14ac:dyDescent="0.2">
      <c r="B36" s="32"/>
      <c r="C36" s="32"/>
      <c r="D36" s="32"/>
      <c r="E36" s="32"/>
      <c r="F36" s="32"/>
      <c r="G36" s="33"/>
      <c r="H36" s="32"/>
      <c r="I36" s="33"/>
      <c r="J36" s="34"/>
      <c r="K36" s="34"/>
      <c r="L36" s="26"/>
      <c r="M36" s="26"/>
      <c r="N36" s="26"/>
      <c r="O36" s="35"/>
      <c r="P36" s="35"/>
      <c r="Q36" s="35"/>
      <c r="R36" s="27"/>
      <c r="S36" s="28"/>
    </row>
    <row r="37" spans="1:19" ht="15" x14ac:dyDescent="0.2">
      <c r="B37" s="32"/>
      <c r="C37" s="32"/>
      <c r="D37" s="32"/>
      <c r="E37" s="32"/>
      <c r="F37" s="32"/>
      <c r="G37" s="33"/>
      <c r="H37" s="32"/>
      <c r="I37" s="33"/>
      <c r="J37" s="34"/>
      <c r="K37" s="34"/>
      <c r="L37" s="26"/>
      <c r="M37" s="26"/>
      <c r="N37" s="26"/>
      <c r="O37" s="35"/>
      <c r="P37" s="35"/>
      <c r="Q37" s="35"/>
      <c r="R37" s="27"/>
      <c r="S37" s="28"/>
    </row>
    <row r="38" spans="1:19" ht="15" x14ac:dyDescent="0.2">
      <c r="A38" s="41" t="s">
        <v>29</v>
      </c>
      <c r="B38" s="1" t="s">
        <v>35</v>
      </c>
      <c r="C38" s="1"/>
      <c r="D38" s="31"/>
      <c r="E38" s="1"/>
      <c r="F38" s="1"/>
      <c r="P38" s="29"/>
      <c r="Q38" s="29"/>
      <c r="R38" s="30"/>
      <c r="S38" s="28"/>
    </row>
    <row r="39" spans="1:19" x14ac:dyDescent="0.2">
      <c r="B39" s="1"/>
      <c r="C39" s="1"/>
      <c r="D39" s="41" t="s">
        <v>34</v>
      </c>
      <c r="E39" s="1" t="s">
        <v>18</v>
      </c>
      <c r="F39" s="1"/>
    </row>
    <row r="40" spans="1:19" x14ac:dyDescent="0.2">
      <c r="B40" s="1"/>
      <c r="C40" s="1"/>
      <c r="D40" s="41" t="s">
        <v>30</v>
      </c>
      <c r="E40" s="1" t="s">
        <v>19</v>
      </c>
      <c r="F40" s="1"/>
    </row>
    <row r="41" spans="1:19" x14ac:dyDescent="0.2">
      <c r="B41" s="1"/>
      <c r="C41" s="1"/>
      <c r="D41" s="41" t="s">
        <v>31</v>
      </c>
      <c r="E41" s="1" t="s">
        <v>20</v>
      </c>
      <c r="F41" s="1"/>
    </row>
    <row r="42" spans="1:19" x14ac:dyDescent="0.2">
      <c r="B42" s="1"/>
      <c r="C42" s="1"/>
      <c r="D42" s="41" t="s">
        <v>32</v>
      </c>
      <c r="E42" s="1" t="s">
        <v>21</v>
      </c>
      <c r="F42" s="1"/>
    </row>
    <row r="43" spans="1:19" x14ac:dyDescent="0.2">
      <c r="B43" s="1"/>
      <c r="C43" s="1"/>
      <c r="D43" s="41" t="s">
        <v>33</v>
      </c>
      <c r="E43" s="1" t="s">
        <v>22</v>
      </c>
      <c r="F43" s="1"/>
    </row>
  </sheetData>
  <printOptions horizontalCentered="1"/>
  <pageMargins left="0" right="0" top="0.98425196850393704" bottom="0.98425196850393704" header="0.51181102362204722" footer="0.51181102362204722"/>
  <pageSetup paperSize="9" scale="53"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52F4-7705-47DD-A1B5-6142BCBBAE2F}">
  <sheetPr>
    <pageSetUpPr fitToPage="1"/>
  </sheetPr>
  <dimension ref="A1:S43"/>
  <sheetViews>
    <sheetView view="pageBreakPreview" zoomScaleSheetLayoutView="100" workbookViewId="0">
      <selection activeCell="L3" sqref="L3"/>
    </sheetView>
  </sheetViews>
  <sheetFormatPr defaultColWidth="12.28515625" defaultRowHeight="12.75" x14ac:dyDescent="0.2"/>
  <cols>
    <col min="1" max="1" width="22.5703125" style="6" customWidth="1"/>
    <col min="2" max="2" width="13.7109375" style="6" customWidth="1"/>
    <col min="3" max="4" width="9.7109375" style="6" bestFit="1" customWidth="1"/>
    <col min="5" max="5" width="14.28515625" style="6" customWidth="1"/>
    <col min="6" max="8" width="14.85546875" style="6" customWidth="1"/>
    <col min="9" max="9" width="16" style="6" customWidth="1"/>
    <col min="10" max="10" width="11.28515625" style="6" bestFit="1" customWidth="1"/>
    <col min="11" max="11" width="12.28515625" style="6" customWidth="1"/>
    <col min="12" max="12" width="14.42578125" style="6" customWidth="1"/>
    <col min="13" max="13" width="6" style="6" customWidth="1"/>
    <col min="14" max="14" width="12.42578125" style="6" bestFit="1" customWidth="1"/>
    <col min="15" max="15" width="13.85546875" style="6" customWidth="1"/>
    <col min="16" max="16" width="9.42578125" style="6" bestFit="1" customWidth="1"/>
    <col min="17" max="17" width="11.28515625" style="6" bestFit="1" customWidth="1"/>
    <col min="18" max="18" width="16.42578125" style="6" bestFit="1" customWidth="1"/>
    <col min="19" max="16384" width="12.28515625" style="6"/>
  </cols>
  <sheetData>
    <row r="1" spans="1:19" s="1" customFormat="1" ht="14.25" x14ac:dyDescent="0.2">
      <c r="A1" s="11" t="s">
        <v>24</v>
      </c>
      <c r="B1" s="11"/>
      <c r="C1" s="11"/>
      <c r="D1" s="11"/>
      <c r="E1" s="11"/>
      <c r="F1" s="11"/>
      <c r="G1" s="11"/>
      <c r="J1" s="4"/>
      <c r="K1" s="2"/>
    </row>
    <row r="2" spans="1:19" s="1" customFormat="1" ht="14.25" x14ac:dyDescent="0.2">
      <c r="A2" s="5"/>
      <c r="B2" s="11" t="s">
        <v>4</v>
      </c>
      <c r="C2" s="11"/>
      <c r="D2" s="11"/>
      <c r="E2" s="11"/>
      <c r="F2" s="11"/>
      <c r="G2" s="11"/>
      <c r="H2" s="11"/>
      <c r="I2" s="11"/>
      <c r="J2" s="9"/>
      <c r="L2" s="36">
        <v>0.66659999999999997</v>
      </c>
      <c r="M2" s="9"/>
      <c r="N2" s="2"/>
      <c r="O2" s="2"/>
      <c r="P2" s="3"/>
    </row>
    <row r="4" spans="1:19" ht="29.25" customHeight="1" x14ac:dyDescent="0.2">
      <c r="B4" s="14"/>
      <c r="C4" s="14"/>
      <c r="D4" s="14"/>
      <c r="F4" s="15"/>
      <c r="G4" s="15"/>
      <c r="H4" s="15"/>
      <c r="I4" s="15"/>
      <c r="J4" s="14"/>
      <c r="L4" s="38" t="s">
        <v>41</v>
      </c>
      <c r="M4" s="38"/>
      <c r="N4" s="16"/>
      <c r="O4" s="13"/>
      <c r="P4" s="14"/>
      <c r="Q4" s="14"/>
      <c r="R4" s="14"/>
    </row>
    <row r="5" spans="1:19" ht="67.5" x14ac:dyDescent="0.2">
      <c r="A5" s="17" t="s">
        <v>13</v>
      </c>
      <c r="B5" s="18" t="s">
        <v>7</v>
      </c>
      <c r="C5" s="39" t="s">
        <v>5</v>
      </c>
      <c r="D5" s="17" t="s">
        <v>9</v>
      </c>
      <c r="E5" s="18" t="s">
        <v>6</v>
      </c>
      <c r="F5" s="17" t="s">
        <v>0</v>
      </c>
      <c r="G5" s="10" t="s">
        <v>39</v>
      </c>
      <c r="H5" s="10" t="s">
        <v>10</v>
      </c>
      <c r="I5" s="10" t="s">
        <v>23</v>
      </c>
      <c r="J5" s="18" t="s">
        <v>12</v>
      </c>
      <c r="K5" s="18" t="s">
        <v>14</v>
      </c>
      <c r="L5" s="18" t="s">
        <v>11</v>
      </c>
      <c r="M5" s="42"/>
      <c r="N5" s="19" t="s">
        <v>40</v>
      </c>
      <c r="O5" s="19" t="s">
        <v>8</v>
      </c>
      <c r="P5" s="20" t="s">
        <v>5</v>
      </c>
      <c r="Q5" s="19" t="s">
        <v>15</v>
      </c>
      <c r="R5" s="21"/>
    </row>
    <row r="6" spans="1:19" ht="9.7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S6" s="22"/>
    </row>
    <row r="7" spans="1:19" ht="15" x14ac:dyDescent="0.2">
      <c r="A7" s="20" t="s">
        <v>16</v>
      </c>
      <c r="B7" s="23">
        <f>ROUND(O7/12*$L$2,2)</f>
        <v>1078.45</v>
      </c>
      <c r="C7" s="23"/>
      <c r="D7" s="23">
        <f>ROUND((B7+C7)/12,2)</f>
        <v>89.87</v>
      </c>
      <c r="E7" s="23">
        <f>ROUND(Q7/12*$L$2,2)</f>
        <v>91.46</v>
      </c>
      <c r="F7" s="23">
        <f>SUM(B7:E7)</f>
        <v>1259.7800000000002</v>
      </c>
      <c r="G7" s="23"/>
      <c r="H7" s="8">
        <f>ROUND(140*$L$2,2)</f>
        <v>93.32</v>
      </c>
      <c r="I7" s="8">
        <f>ROUND(600/12,2)</f>
        <v>50</v>
      </c>
      <c r="J7" s="7">
        <f>ROUND(F7+G7+H7+I7-(F7)*2%,2)</f>
        <v>1377.9</v>
      </c>
      <c r="K7" s="7">
        <f>ROUND((F7)*40.38%+(+H7+I7)*32.7%+(F7+G7+H7+I7)*1.61%,2)</f>
        <v>578.15</v>
      </c>
      <c r="L7" s="25">
        <f>J7+K7</f>
        <v>1956.0500000000002</v>
      </c>
      <c r="M7" s="26"/>
      <c r="N7" s="26"/>
      <c r="O7" s="24">
        <v>19414.099999999999</v>
      </c>
      <c r="P7" s="24"/>
      <c r="Q7" s="37">
        <v>1646.36</v>
      </c>
      <c r="R7" s="27"/>
      <c r="S7" s="28"/>
    </row>
    <row r="8" spans="1:19" ht="15" x14ac:dyDescent="0.2">
      <c r="A8" s="20" t="s">
        <v>17</v>
      </c>
      <c r="B8" s="23">
        <f>ROUND(O8/12*$L$2,2)</f>
        <v>1183.5899999999999</v>
      </c>
      <c r="C8" s="23"/>
      <c r="D8" s="23">
        <f t="shared" ref="D8:D11" si="0">ROUND((B8+C8)/12,2)</f>
        <v>98.63</v>
      </c>
      <c r="E8" s="23">
        <f t="shared" ref="E8:E11" si="1">ROUND(Q8/12*$L$2,2)</f>
        <v>91.46</v>
      </c>
      <c r="F8" s="23">
        <f>SUM(B8:E8)</f>
        <v>1373.6799999999998</v>
      </c>
      <c r="G8" s="23"/>
      <c r="H8" s="8">
        <f t="shared" ref="H8:H10" si="2">ROUND(140*$L$2,2)</f>
        <v>93.32</v>
      </c>
      <c r="I8" s="8">
        <f t="shared" ref="I8:I10" si="3">ROUND(600/12,2)</f>
        <v>50</v>
      </c>
      <c r="J8" s="7">
        <f t="shared" ref="J8:J11" si="4">ROUND(F8+G8+H8+I8-(F8)*2%,2)</f>
        <v>1489.53</v>
      </c>
      <c r="K8" s="7">
        <f t="shared" ref="K8:K10" si="5">ROUND((F8)*40.38%+(+H8+I8)*32.7%+(F8+G8+H8+I8)*1.61%,2)</f>
        <v>625.98</v>
      </c>
      <c r="L8" s="25">
        <f t="shared" ref="L8" si="6">J8+K8</f>
        <v>2115.5100000000002</v>
      </c>
      <c r="M8" s="26"/>
      <c r="N8" s="26"/>
      <c r="O8" s="24">
        <v>21306.79</v>
      </c>
      <c r="P8" s="24"/>
      <c r="Q8" s="37">
        <v>1646.36</v>
      </c>
      <c r="R8" s="27"/>
      <c r="S8" s="28"/>
    </row>
    <row r="9" spans="1:19" ht="15" x14ac:dyDescent="0.2">
      <c r="A9" s="20" t="s">
        <v>1</v>
      </c>
      <c r="B9" s="23">
        <f>ROUND(O9/12*$L$2,2)</f>
        <v>1220.55</v>
      </c>
      <c r="C9" s="23"/>
      <c r="D9" s="23">
        <f t="shared" si="0"/>
        <v>101.71</v>
      </c>
      <c r="E9" s="23">
        <f t="shared" si="1"/>
        <v>121.5</v>
      </c>
      <c r="F9" s="23">
        <f>SUM(B9:E9)</f>
        <v>1443.76</v>
      </c>
      <c r="G9" s="23"/>
      <c r="H9" s="8">
        <f t="shared" si="2"/>
        <v>93.32</v>
      </c>
      <c r="I9" s="8">
        <f t="shared" si="3"/>
        <v>50</v>
      </c>
      <c r="J9" s="7">
        <f t="shared" si="4"/>
        <v>1558.2</v>
      </c>
      <c r="K9" s="7">
        <f t="shared" si="5"/>
        <v>655.41</v>
      </c>
      <c r="L9" s="25">
        <f>J9+K9</f>
        <v>2213.61</v>
      </c>
      <c r="M9" s="26"/>
      <c r="N9" s="26"/>
      <c r="O9" s="24">
        <v>21972.04</v>
      </c>
      <c r="P9" s="24"/>
      <c r="Q9" s="37">
        <v>2187.17</v>
      </c>
      <c r="R9" s="27"/>
      <c r="S9" s="28"/>
    </row>
    <row r="10" spans="1:19" ht="15" x14ac:dyDescent="0.2">
      <c r="A10" s="20" t="s">
        <v>2</v>
      </c>
      <c r="B10" s="23">
        <f>ROUND(O10/12*$L$2,2)</f>
        <v>1416.85</v>
      </c>
      <c r="C10" s="23"/>
      <c r="D10" s="23">
        <f t="shared" si="0"/>
        <v>118.07</v>
      </c>
      <c r="E10" s="23">
        <f t="shared" si="1"/>
        <v>168.12</v>
      </c>
      <c r="F10" s="23">
        <f>SUM(B10:E10)</f>
        <v>1703.04</v>
      </c>
      <c r="G10" s="23"/>
      <c r="H10" s="8">
        <f t="shared" si="2"/>
        <v>93.32</v>
      </c>
      <c r="I10" s="8">
        <f t="shared" si="3"/>
        <v>50</v>
      </c>
      <c r="J10" s="7">
        <f t="shared" si="4"/>
        <v>1812.3</v>
      </c>
      <c r="K10" s="7">
        <f t="shared" si="5"/>
        <v>764.28</v>
      </c>
      <c r="L10" s="25">
        <f>J10+K10</f>
        <v>2576.58</v>
      </c>
      <c r="M10" s="26"/>
      <c r="N10" s="26"/>
      <c r="O10" s="24">
        <v>25505.79</v>
      </c>
      <c r="P10" s="24"/>
      <c r="Q10" s="37">
        <v>3026.46</v>
      </c>
      <c r="R10" s="27"/>
      <c r="S10" s="28"/>
    </row>
    <row r="11" spans="1:19" ht="15" x14ac:dyDescent="0.2">
      <c r="A11" s="20" t="s">
        <v>3</v>
      </c>
      <c r="B11" s="23">
        <f>ROUND(O11/12*$L$2,2)</f>
        <v>1593.93</v>
      </c>
      <c r="C11" s="23"/>
      <c r="D11" s="23">
        <f t="shared" si="0"/>
        <v>132.83000000000001</v>
      </c>
      <c r="E11" s="23">
        <f t="shared" si="1"/>
        <v>198.71</v>
      </c>
      <c r="F11" s="23">
        <f>SUM(B11:E11)</f>
        <v>1925.47</v>
      </c>
      <c r="G11" s="8">
        <f>ROUND(((N11)*$L$2+(N11)*0.3)/12,2)</f>
        <v>249.62</v>
      </c>
      <c r="H11" s="23"/>
      <c r="I11" s="8"/>
      <c r="J11" s="7">
        <f t="shared" si="4"/>
        <v>2136.58</v>
      </c>
      <c r="K11" s="7">
        <f>ROUND((F11)*40.38%+(+G11+H11+I11)*32.7%+(F11+G11+H11+I11)*1.61%+((B11+C11)-556.86*$L$2)*4.36%,2)</f>
        <v>947.46</v>
      </c>
      <c r="L11" s="25">
        <f>J11+K11</f>
        <v>3084.04</v>
      </c>
      <c r="M11" s="26"/>
      <c r="N11" s="24">
        <v>3099</v>
      </c>
      <c r="O11" s="24">
        <v>28693.65</v>
      </c>
      <c r="P11" s="24"/>
      <c r="Q11" s="37">
        <v>3577.2</v>
      </c>
      <c r="R11" s="27"/>
      <c r="S11" s="28"/>
    </row>
    <row r="12" spans="1:19" ht="15" x14ac:dyDescent="0.2">
      <c r="B12" s="32"/>
      <c r="C12" s="32"/>
      <c r="D12" s="32"/>
      <c r="E12" s="32"/>
      <c r="F12" s="32"/>
      <c r="G12" s="33"/>
      <c r="H12" s="32"/>
      <c r="I12" s="33"/>
      <c r="J12" s="34"/>
      <c r="K12" s="34"/>
      <c r="L12" s="26"/>
      <c r="M12" s="26"/>
      <c r="N12" s="26"/>
      <c r="O12" s="35"/>
      <c r="P12" s="35"/>
      <c r="Q12" s="35"/>
      <c r="R12" s="27"/>
      <c r="S12" s="28"/>
    </row>
    <row r="13" spans="1:19" ht="29.25" customHeight="1" x14ac:dyDescent="0.2">
      <c r="B13" s="14"/>
      <c r="C13" s="14"/>
      <c r="D13" s="14"/>
      <c r="F13" s="15"/>
      <c r="G13" s="15"/>
      <c r="H13" s="15"/>
      <c r="I13" s="15"/>
      <c r="J13" s="14"/>
      <c r="L13" s="38" t="s">
        <v>42</v>
      </c>
      <c r="M13" s="38"/>
      <c r="N13" s="16"/>
      <c r="O13" s="13"/>
      <c r="P13" s="14"/>
      <c r="Q13" s="14"/>
      <c r="R13" s="14"/>
    </row>
    <row r="14" spans="1:19" ht="67.5" x14ac:dyDescent="0.2">
      <c r="A14" s="17" t="s">
        <v>13</v>
      </c>
      <c r="B14" s="18" t="s">
        <v>7</v>
      </c>
      <c r="C14" s="39" t="s">
        <v>38</v>
      </c>
      <c r="D14" s="17" t="s">
        <v>9</v>
      </c>
      <c r="E14" s="18" t="s">
        <v>6</v>
      </c>
      <c r="F14" s="17" t="s">
        <v>0</v>
      </c>
      <c r="G14" s="10" t="s">
        <v>39</v>
      </c>
      <c r="H14" s="10" t="s">
        <v>10</v>
      </c>
      <c r="I14" s="10" t="s">
        <v>23</v>
      </c>
      <c r="J14" s="18" t="s">
        <v>12</v>
      </c>
      <c r="K14" s="18" t="s">
        <v>14</v>
      </c>
      <c r="L14" s="18" t="s">
        <v>11</v>
      </c>
      <c r="M14" s="42"/>
      <c r="N14" s="19" t="s">
        <v>40</v>
      </c>
      <c r="O14" s="19" t="s">
        <v>8</v>
      </c>
      <c r="P14" s="20" t="s">
        <v>5</v>
      </c>
      <c r="Q14" s="19" t="s">
        <v>15</v>
      </c>
      <c r="R14" s="21"/>
    </row>
    <row r="15" spans="1:19" ht="9.7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S15" s="22"/>
    </row>
    <row r="16" spans="1:19" ht="15" x14ac:dyDescent="0.2">
      <c r="A16" s="40" t="s">
        <v>25</v>
      </c>
      <c r="B16" s="23">
        <f>ROUND(O16/12*$L$2,2)</f>
        <v>1183.5899999999999</v>
      </c>
      <c r="C16" s="23">
        <f>ROUND((P16)/12*$L$2,2)</f>
        <v>0</v>
      </c>
      <c r="D16" s="23">
        <f t="shared" ref="D16:D19" si="7">ROUND((B16+C16)/12,2)</f>
        <v>98.63</v>
      </c>
      <c r="E16" s="23">
        <f t="shared" ref="E16:E19" si="8">ROUND(Q16/12*$L$2,2)</f>
        <v>91.46</v>
      </c>
      <c r="F16" s="23">
        <f>SUM(B16:E16)</f>
        <v>1373.6799999999998</v>
      </c>
      <c r="G16" s="23"/>
      <c r="H16" s="8">
        <f t="shared" ref="H16:H18" si="9">ROUND(140*$L$2,2)</f>
        <v>93.32</v>
      </c>
      <c r="I16" s="8">
        <f t="shared" ref="I16:I18" si="10">ROUND(600/12,2)</f>
        <v>50</v>
      </c>
      <c r="J16" s="7">
        <f t="shared" ref="J16:J19" si="11">ROUND(F16+G16+H16+I16-(F16)*2%,2)</f>
        <v>1489.53</v>
      </c>
      <c r="K16" s="7">
        <f t="shared" ref="K16:K18" si="12">ROUND((F16)*40.38%+(+H16+I16)*32.7%+(F16+G16+H16+I16)*1.61%,2)</f>
        <v>625.98</v>
      </c>
      <c r="L16" s="25">
        <f t="shared" ref="L16" si="13">J16+K16</f>
        <v>2115.5100000000002</v>
      </c>
      <c r="M16" s="26"/>
      <c r="N16" s="26"/>
      <c r="O16" s="24">
        <v>21306.79</v>
      </c>
      <c r="P16" s="37"/>
      <c r="Q16" s="37">
        <v>1646.36</v>
      </c>
      <c r="R16" s="27"/>
      <c r="S16" s="28"/>
    </row>
    <row r="17" spans="1:19" ht="15" x14ac:dyDescent="0.2">
      <c r="A17" s="40" t="s">
        <v>26</v>
      </c>
      <c r="B17" s="23">
        <f>ROUND(O17/12*$L$2,2)</f>
        <v>1241.99</v>
      </c>
      <c r="C17" s="23">
        <f t="shared" ref="C17:C19" si="14">ROUND((P17)/12*$L$2,2)</f>
        <v>0</v>
      </c>
      <c r="D17" s="23">
        <f t="shared" si="7"/>
        <v>103.5</v>
      </c>
      <c r="E17" s="23">
        <f t="shared" si="8"/>
        <v>121.5</v>
      </c>
      <c r="F17" s="23">
        <f>SUM(B17:E17)</f>
        <v>1466.99</v>
      </c>
      <c r="G17" s="23"/>
      <c r="H17" s="8">
        <f t="shared" si="9"/>
        <v>93.32</v>
      </c>
      <c r="I17" s="8">
        <f t="shared" si="10"/>
        <v>50</v>
      </c>
      <c r="J17" s="7">
        <f t="shared" si="11"/>
        <v>1580.97</v>
      </c>
      <c r="K17" s="7">
        <f t="shared" si="12"/>
        <v>665.16</v>
      </c>
      <c r="L17" s="25">
        <f>J17+K17</f>
        <v>2246.13</v>
      </c>
      <c r="M17" s="26"/>
      <c r="N17" s="26"/>
      <c r="O17" s="24">
        <v>22358.04</v>
      </c>
      <c r="P17" s="37"/>
      <c r="Q17" s="37">
        <v>2187.17</v>
      </c>
      <c r="R17" s="27"/>
      <c r="S17" s="28"/>
    </row>
    <row r="18" spans="1:19" ht="15" x14ac:dyDescent="0.2">
      <c r="A18" s="40" t="s">
        <v>27</v>
      </c>
      <c r="B18" s="23">
        <f>ROUND(O18/12*$L$2,2)</f>
        <v>1416.85</v>
      </c>
      <c r="C18" s="23">
        <f t="shared" si="14"/>
        <v>0</v>
      </c>
      <c r="D18" s="23">
        <f t="shared" si="7"/>
        <v>118.07</v>
      </c>
      <c r="E18" s="23">
        <f t="shared" si="8"/>
        <v>168.12</v>
      </c>
      <c r="F18" s="23">
        <f>SUM(B18:E18)</f>
        <v>1703.04</v>
      </c>
      <c r="G18" s="23"/>
      <c r="H18" s="8">
        <f t="shared" si="9"/>
        <v>93.32</v>
      </c>
      <c r="I18" s="8">
        <f t="shared" si="10"/>
        <v>50</v>
      </c>
      <c r="J18" s="7">
        <f t="shared" si="11"/>
        <v>1812.3</v>
      </c>
      <c r="K18" s="7">
        <f t="shared" si="12"/>
        <v>764.28</v>
      </c>
      <c r="L18" s="25">
        <f>J18+K18</f>
        <v>2576.58</v>
      </c>
      <c r="M18" s="26"/>
      <c r="N18" s="26"/>
      <c r="O18" s="24">
        <v>25505.79</v>
      </c>
      <c r="P18" s="37"/>
      <c r="Q18" s="37">
        <v>3026.46</v>
      </c>
      <c r="R18" s="27"/>
      <c r="S18" s="28"/>
    </row>
    <row r="19" spans="1:19" ht="15" x14ac:dyDescent="0.2">
      <c r="A19" s="40" t="s">
        <v>28</v>
      </c>
      <c r="B19" s="23">
        <f>ROUND(O19/12*$L$2,2)</f>
        <v>1593.93</v>
      </c>
      <c r="C19" s="23">
        <f t="shared" si="14"/>
        <v>0</v>
      </c>
      <c r="D19" s="23">
        <f t="shared" si="7"/>
        <v>132.83000000000001</v>
      </c>
      <c r="E19" s="23">
        <f t="shared" si="8"/>
        <v>198.71</v>
      </c>
      <c r="F19" s="23">
        <f>SUM(B19:E19)</f>
        <v>1925.47</v>
      </c>
      <c r="G19" s="8">
        <f>ROUND(((N19)*$L$2+(N19)*0.3)/12,2)</f>
        <v>249.62</v>
      </c>
      <c r="H19" s="23"/>
      <c r="I19" s="8"/>
      <c r="J19" s="7">
        <f t="shared" si="11"/>
        <v>2136.58</v>
      </c>
      <c r="K19" s="7">
        <f>ROUND((F19)*40.38%+(+G19+H19+I19)*32.7%+(F19+G19+H19+I19)*1.61%+((B19+C19)-556.86*$L$2)*4.36%,2)</f>
        <v>947.46</v>
      </c>
      <c r="L19" s="25">
        <f>J19+K19</f>
        <v>3084.04</v>
      </c>
      <c r="M19" s="26"/>
      <c r="N19" s="24">
        <v>3099</v>
      </c>
      <c r="O19" s="24">
        <v>28693.65</v>
      </c>
      <c r="P19" s="37"/>
      <c r="Q19" s="37">
        <v>3577.2</v>
      </c>
      <c r="R19" s="27"/>
      <c r="S19" s="28"/>
    </row>
    <row r="20" spans="1:19" ht="15" x14ac:dyDescent="0.2">
      <c r="B20" s="32"/>
      <c r="C20" s="32"/>
      <c r="D20" s="32"/>
      <c r="E20" s="32"/>
      <c r="F20" s="32"/>
      <c r="G20" s="33"/>
      <c r="H20" s="32"/>
      <c r="I20" s="33"/>
      <c r="J20" s="34"/>
      <c r="K20" s="34"/>
      <c r="L20" s="26"/>
      <c r="M20" s="26"/>
      <c r="N20" s="26"/>
      <c r="O20" s="35"/>
      <c r="P20" s="35"/>
      <c r="Q20" s="35"/>
      <c r="R20" s="27"/>
      <c r="S20" s="28"/>
    </row>
    <row r="21" spans="1:19" ht="29.25" customHeight="1" x14ac:dyDescent="0.2">
      <c r="B21" s="14"/>
      <c r="C21" s="14"/>
      <c r="D21" s="14"/>
      <c r="F21" s="15"/>
      <c r="G21" s="15"/>
      <c r="H21" s="15"/>
      <c r="I21" s="15"/>
      <c r="J21" s="14"/>
      <c r="L21" s="38" t="s">
        <v>36</v>
      </c>
      <c r="M21" s="38"/>
      <c r="N21" s="16"/>
      <c r="O21" s="13"/>
      <c r="P21" s="14"/>
      <c r="Q21" s="14"/>
      <c r="R21" s="14"/>
    </row>
    <row r="22" spans="1:19" ht="67.5" x14ac:dyDescent="0.2">
      <c r="A22" s="17" t="s">
        <v>13</v>
      </c>
      <c r="B22" s="18" t="s">
        <v>7</v>
      </c>
      <c r="C22" s="39" t="s">
        <v>38</v>
      </c>
      <c r="D22" s="17" t="s">
        <v>9</v>
      </c>
      <c r="E22" s="18" t="s">
        <v>6</v>
      </c>
      <c r="F22" s="17" t="s">
        <v>0</v>
      </c>
      <c r="G22" s="10" t="s">
        <v>39</v>
      </c>
      <c r="H22" s="10" t="s">
        <v>10</v>
      </c>
      <c r="I22" s="10" t="s">
        <v>23</v>
      </c>
      <c r="J22" s="18" t="s">
        <v>12</v>
      </c>
      <c r="K22" s="18" t="s">
        <v>14</v>
      </c>
      <c r="L22" s="18" t="s">
        <v>11</v>
      </c>
      <c r="M22" s="42"/>
      <c r="N22" s="19" t="s">
        <v>40</v>
      </c>
      <c r="O22" s="19" t="s">
        <v>8</v>
      </c>
      <c r="P22" s="20" t="s">
        <v>5</v>
      </c>
      <c r="Q22" s="19" t="s">
        <v>15</v>
      </c>
      <c r="R22" s="21"/>
    </row>
    <row r="23" spans="1:19" ht="9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S23" s="22"/>
    </row>
    <row r="24" spans="1:19" ht="15" x14ac:dyDescent="0.2">
      <c r="A24" s="40" t="s">
        <v>25</v>
      </c>
      <c r="B24" s="23">
        <f>ROUND(O24/12*$L$2,2)</f>
        <v>1183.5899999999999</v>
      </c>
      <c r="C24" s="23">
        <f>ROUND((P24)/12*$L$2,2)</f>
        <v>7.1</v>
      </c>
      <c r="D24" s="23">
        <f t="shared" ref="D24:D27" si="15">ROUND((B24+C24)/12,2)</f>
        <v>99.22</v>
      </c>
      <c r="E24" s="23">
        <f t="shared" ref="E24:E27" si="16">ROUND(Q24/12*$L$2,2)</f>
        <v>91.46</v>
      </c>
      <c r="F24" s="23">
        <f>SUM(B24:E24)</f>
        <v>1381.37</v>
      </c>
      <c r="G24" s="23"/>
      <c r="H24" s="8">
        <f t="shared" ref="H24:H26" si="17">ROUND(140*$L$2,2)</f>
        <v>93.32</v>
      </c>
      <c r="I24" s="8">
        <f t="shared" ref="I24:I26" si="18">ROUND(600/12,2)</f>
        <v>50</v>
      </c>
      <c r="J24" s="7">
        <f t="shared" ref="J24:J27" si="19">ROUND(F24+G24+H24+I24-(F24)*2%,2)</f>
        <v>1497.06</v>
      </c>
      <c r="K24" s="7">
        <f t="shared" ref="K24:K26" si="20">ROUND((F24)*40.38%+(+H24+I24)*32.7%+(F24+G24+H24+I24)*1.61%,2)</f>
        <v>629.21</v>
      </c>
      <c r="L24" s="25">
        <f t="shared" ref="L24" si="21">J24+K24</f>
        <v>2126.27</v>
      </c>
      <c r="M24" s="26"/>
      <c r="N24" s="26"/>
      <c r="O24" s="24">
        <v>21306.79</v>
      </c>
      <c r="P24" s="37">
        <f>10.65*12</f>
        <v>127.80000000000001</v>
      </c>
      <c r="Q24" s="37">
        <v>1646.36</v>
      </c>
      <c r="R24" s="27"/>
      <c r="S24" s="28"/>
    </row>
    <row r="25" spans="1:19" ht="15" x14ac:dyDescent="0.2">
      <c r="A25" s="40" t="s">
        <v>26</v>
      </c>
      <c r="B25" s="23">
        <f>ROUND(O25/12*$L$2,2)</f>
        <v>1241.99</v>
      </c>
      <c r="C25" s="23">
        <f t="shared" ref="C25:C27" si="22">ROUND((P25)/12*$L$2,2)</f>
        <v>7.45</v>
      </c>
      <c r="D25" s="23">
        <f t="shared" si="15"/>
        <v>104.12</v>
      </c>
      <c r="E25" s="23">
        <f t="shared" si="16"/>
        <v>121.5</v>
      </c>
      <c r="F25" s="23">
        <f>SUM(B25:E25)</f>
        <v>1475.06</v>
      </c>
      <c r="G25" s="23"/>
      <c r="H25" s="8">
        <f t="shared" si="17"/>
        <v>93.32</v>
      </c>
      <c r="I25" s="8">
        <f t="shared" si="18"/>
        <v>50</v>
      </c>
      <c r="J25" s="7">
        <f t="shared" si="19"/>
        <v>1588.88</v>
      </c>
      <c r="K25" s="7">
        <f t="shared" si="20"/>
        <v>668.55</v>
      </c>
      <c r="L25" s="25">
        <f>J25+K25</f>
        <v>2257.4300000000003</v>
      </c>
      <c r="M25" s="26"/>
      <c r="N25" s="26"/>
      <c r="O25" s="24">
        <v>22358.04</v>
      </c>
      <c r="P25" s="37">
        <f>11.18*12</f>
        <v>134.16</v>
      </c>
      <c r="Q25" s="37">
        <v>2187.17</v>
      </c>
      <c r="R25" s="27"/>
      <c r="S25" s="28"/>
    </row>
    <row r="26" spans="1:19" ht="15" x14ac:dyDescent="0.2">
      <c r="A26" s="40" t="s">
        <v>27</v>
      </c>
      <c r="B26" s="23">
        <f>ROUND(O26/12*$L$2,2)</f>
        <v>1416.85</v>
      </c>
      <c r="C26" s="23">
        <f t="shared" si="22"/>
        <v>8.5</v>
      </c>
      <c r="D26" s="23">
        <f t="shared" si="15"/>
        <v>118.78</v>
      </c>
      <c r="E26" s="23">
        <f t="shared" si="16"/>
        <v>168.12</v>
      </c>
      <c r="F26" s="23">
        <f>SUM(B26:E26)</f>
        <v>1712.25</v>
      </c>
      <c r="G26" s="23"/>
      <c r="H26" s="8">
        <f t="shared" si="17"/>
        <v>93.32</v>
      </c>
      <c r="I26" s="8">
        <f t="shared" si="18"/>
        <v>50</v>
      </c>
      <c r="J26" s="7">
        <f t="shared" si="19"/>
        <v>1821.33</v>
      </c>
      <c r="K26" s="7">
        <f t="shared" si="20"/>
        <v>768.15</v>
      </c>
      <c r="L26" s="25">
        <f>J26+K26</f>
        <v>2589.48</v>
      </c>
      <c r="M26" s="26"/>
      <c r="N26" s="26"/>
      <c r="O26" s="24">
        <v>25505.79</v>
      </c>
      <c r="P26" s="37">
        <f>12.75*12</f>
        <v>153</v>
      </c>
      <c r="Q26" s="37">
        <v>3026.46</v>
      </c>
      <c r="R26" s="27"/>
      <c r="S26" s="28"/>
    </row>
    <row r="27" spans="1:19" ht="15" x14ac:dyDescent="0.2">
      <c r="A27" s="40" t="s">
        <v>28</v>
      </c>
      <c r="B27" s="23">
        <f>ROUND(O27/12*$L$2,2)</f>
        <v>1593.93</v>
      </c>
      <c r="C27" s="23">
        <f t="shared" si="22"/>
        <v>9.57</v>
      </c>
      <c r="D27" s="23">
        <f t="shared" si="15"/>
        <v>133.63</v>
      </c>
      <c r="E27" s="23">
        <f t="shared" si="16"/>
        <v>198.71</v>
      </c>
      <c r="F27" s="23">
        <f>SUM(B27:E27)</f>
        <v>1935.8400000000001</v>
      </c>
      <c r="G27" s="8">
        <f>ROUND(((N27)*$L$2+(N27)*0.3)/12,2)</f>
        <v>249.62</v>
      </c>
      <c r="H27" s="23"/>
      <c r="I27" s="8"/>
      <c r="J27" s="7">
        <f t="shared" si="19"/>
        <v>2146.7399999999998</v>
      </c>
      <c r="K27" s="7">
        <f>ROUND((F27)*40.38%+(+G27+H27+I27)*32.7%+(F27+G27+H27+I27)*1.61%+((B27+C27)-556.86*$L$2)*4.36%,2)</f>
        <v>952.23</v>
      </c>
      <c r="L27" s="25">
        <f>J27+K27</f>
        <v>3098.97</v>
      </c>
      <c r="M27" s="26"/>
      <c r="N27" s="24">
        <v>3099</v>
      </c>
      <c r="O27" s="24">
        <v>28693.65</v>
      </c>
      <c r="P27" s="37">
        <f>14.35*12</f>
        <v>172.2</v>
      </c>
      <c r="Q27" s="37">
        <v>3577.2</v>
      </c>
      <c r="R27" s="27"/>
      <c r="S27" s="28"/>
    </row>
    <row r="28" spans="1:19" ht="15" x14ac:dyDescent="0.2">
      <c r="B28" s="32"/>
      <c r="C28" s="32"/>
      <c r="D28" s="32"/>
      <c r="E28" s="32"/>
      <c r="F28" s="32"/>
      <c r="G28" s="33"/>
      <c r="H28" s="32"/>
      <c r="I28" s="33"/>
      <c r="J28" s="34"/>
      <c r="K28" s="34"/>
      <c r="L28" s="26"/>
      <c r="M28" s="26"/>
      <c r="N28" s="26"/>
      <c r="O28" s="35"/>
      <c r="P28" s="35"/>
      <c r="Q28" s="35"/>
      <c r="R28" s="27"/>
      <c r="S28" s="28"/>
    </row>
    <row r="29" spans="1:19" ht="29.25" customHeight="1" x14ac:dyDescent="0.2">
      <c r="B29" s="14"/>
      <c r="C29" s="14"/>
      <c r="D29" s="14"/>
      <c r="F29" s="15"/>
      <c r="G29" s="15"/>
      <c r="H29" s="15"/>
      <c r="I29" s="15"/>
      <c r="J29" s="14"/>
      <c r="L29" s="38" t="s">
        <v>37</v>
      </c>
      <c r="M29" s="38"/>
      <c r="N29" s="16"/>
      <c r="O29" s="13"/>
      <c r="P29" s="14"/>
      <c r="Q29" s="14"/>
      <c r="R29" s="14"/>
    </row>
    <row r="30" spans="1:19" ht="67.5" x14ac:dyDescent="0.2">
      <c r="A30" s="17" t="s">
        <v>13</v>
      </c>
      <c r="B30" s="18" t="s">
        <v>7</v>
      </c>
      <c r="C30" s="39" t="s">
        <v>38</v>
      </c>
      <c r="D30" s="17" t="s">
        <v>9</v>
      </c>
      <c r="E30" s="18" t="s">
        <v>6</v>
      </c>
      <c r="F30" s="17" t="s">
        <v>0</v>
      </c>
      <c r="G30" s="10" t="s">
        <v>39</v>
      </c>
      <c r="H30" s="10" t="s">
        <v>10</v>
      </c>
      <c r="I30" s="10" t="s">
        <v>23</v>
      </c>
      <c r="J30" s="18" t="s">
        <v>12</v>
      </c>
      <c r="K30" s="18" t="s">
        <v>14</v>
      </c>
      <c r="L30" s="18" t="s">
        <v>11</v>
      </c>
      <c r="M30" s="42"/>
      <c r="N30" s="19" t="s">
        <v>40</v>
      </c>
      <c r="O30" s="19" t="s">
        <v>8</v>
      </c>
      <c r="P30" s="20" t="s">
        <v>5</v>
      </c>
      <c r="Q30" s="19" t="s">
        <v>15</v>
      </c>
      <c r="R30" s="21"/>
    </row>
    <row r="31" spans="1:19" ht="9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S31" s="22"/>
    </row>
    <row r="32" spans="1:19" ht="15" x14ac:dyDescent="0.2">
      <c r="A32" s="40" t="s">
        <v>25</v>
      </c>
      <c r="B32" s="23">
        <f>ROUND(O32/12*$L$2,2)</f>
        <v>1183.5899999999999</v>
      </c>
      <c r="C32" s="23">
        <f>ROUND((P32)/12*$L$2,2)</f>
        <v>11.84</v>
      </c>
      <c r="D32" s="23">
        <f t="shared" ref="D32:D35" si="23">ROUND((B32+C32)/12,2)</f>
        <v>99.62</v>
      </c>
      <c r="E32" s="23">
        <f t="shared" ref="E32:E35" si="24">ROUND(Q32/12*$L$2,2)</f>
        <v>91.46</v>
      </c>
      <c r="F32" s="23">
        <f>SUM(B32:E32)</f>
        <v>1386.5099999999998</v>
      </c>
      <c r="G32" s="23"/>
      <c r="H32" s="8">
        <f t="shared" ref="H32:H34" si="25">ROUND(140*$L$2,2)</f>
        <v>93.32</v>
      </c>
      <c r="I32" s="8">
        <f t="shared" ref="I32:I34" si="26">ROUND(600/12,2)</f>
        <v>50</v>
      </c>
      <c r="J32" s="7">
        <f t="shared" ref="J32:J35" si="27">ROUND(F32+G32+H32+I32-(F32)*2%,2)</f>
        <v>1502.1</v>
      </c>
      <c r="K32" s="7">
        <f t="shared" ref="K32:K34" si="28">ROUND((F32)*40.38%+(+H32+I32)*32.7%+(F32+G32+H32+I32)*1.61%,2)</f>
        <v>631.37</v>
      </c>
      <c r="L32" s="25">
        <f t="shared" ref="L32" si="29">J32+K32</f>
        <v>2133.4699999999998</v>
      </c>
      <c r="M32" s="26"/>
      <c r="N32" s="26"/>
      <c r="O32" s="24">
        <v>21306.79</v>
      </c>
      <c r="P32" s="37">
        <f>17.76*12</f>
        <v>213.12</v>
      </c>
      <c r="Q32" s="37">
        <v>1646.36</v>
      </c>
      <c r="R32" s="27"/>
      <c r="S32" s="28"/>
    </row>
    <row r="33" spans="1:19" ht="15" x14ac:dyDescent="0.2">
      <c r="A33" s="40" t="s">
        <v>26</v>
      </c>
      <c r="B33" s="23">
        <f>ROUND(O33/12*$L$2,2)</f>
        <v>1241.99</v>
      </c>
      <c r="C33" s="23">
        <f t="shared" ref="C33:C35" si="30">ROUND((P33)/12*$L$2,2)</f>
        <v>12.42</v>
      </c>
      <c r="D33" s="23">
        <f t="shared" si="23"/>
        <v>104.53</v>
      </c>
      <c r="E33" s="23">
        <f t="shared" si="24"/>
        <v>121.5</v>
      </c>
      <c r="F33" s="23">
        <f>SUM(B33:E33)</f>
        <v>1480.44</v>
      </c>
      <c r="G33" s="23"/>
      <c r="H33" s="8">
        <f t="shared" si="25"/>
        <v>93.32</v>
      </c>
      <c r="I33" s="8">
        <f t="shared" si="26"/>
        <v>50</v>
      </c>
      <c r="J33" s="7">
        <f t="shared" si="27"/>
        <v>1594.15</v>
      </c>
      <c r="K33" s="7">
        <f t="shared" si="28"/>
        <v>670.81</v>
      </c>
      <c r="L33" s="25">
        <f>J33+K33</f>
        <v>2264.96</v>
      </c>
      <c r="M33" s="26"/>
      <c r="N33" s="26"/>
      <c r="O33" s="24">
        <v>22358.04</v>
      </c>
      <c r="P33" s="37">
        <f>18.63*12</f>
        <v>223.56</v>
      </c>
      <c r="Q33" s="37">
        <v>2187.17</v>
      </c>
      <c r="R33" s="27"/>
      <c r="S33" s="28"/>
    </row>
    <row r="34" spans="1:19" ht="15" x14ac:dyDescent="0.2">
      <c r="A34" s="40" t="s">
        <v>27</v>
      </c>
      <c r="B34" s="23">
        <f>ROUND(O34/12*$L$2,2)</f>
        <v>1416.85</v>
      </c>
      <c r="C34" s="23">
        <f t="shared" si="30"/>
        <v>14.17</v>
      </c>
      <c r="D34" s="23">
        <f t="shared" si="23"/>
        <v>119.25</v>
      </c>
      <c r="E34" s="23">
        <f t="shared" si="24"/>
        <v>168.12</v>
      </c>
      <c r="F34" s="23">
        <f>SUM(B34:E34)</f>
        <v>1718.3899999999999</v>
      </c>
      <c r="G34" s="23"/>
      <c r="H34" s="8">
        <f t="shared" si="25"/>
        <v>93.32</v>
      </c>
      <c r="I34" s="8">
        <f t="shared" si="26"/>
        <v>50</v>
      </c>
      <c r="J34" s="7">
        <f t="shared" si="27"/>
        <v>1827.34</v>
      </c>
      <c r="K34" s="7">
        <f t="shared" si="28"/>
        <v>770.73</v>
      </c>
      <c r="L34" s="25">
        <f>J34+K34</f>
        <v>2598.0699999999997</v>
      </c>
      <c r="M34" s="26"/>
      <c r="N34" s="26"/>
      <c r="O34" s="24">
        <v>25505.79</v>
      </c>
      <c r="P34" s="37">
        <f>21.25*12</f>
        <v>255</v>
      </c>
      <c r="Q34" s="37">
        <v>3026.46</v>
      </c>
      <c r="R34" s="27"/>
      <c r="S34" s="28"/>
    </row>
    <row r="35" spans="1:19" ht="15" x14ac:dyDescent="0.2">
      <c r="A35" s="40" t="s">
        <v>28</v>
      </c>
      <c r="B35" s="23">
        <f>ROUND(O35/12*$L$2,2)</f>
        <v>1593.93</v>
      </c>
      <c r="C35" s="23">
        <f t="shared" si="30"/>
        <v>15.94</v>
      </c>
      <c r="D35" s="23">
        <f t="shared" si="23"/>
        <v>134.16</v>
      </c>
      <c r="E35" s="23">
        <f t="shared" si="24"/>
        <v>198.71</v>
      </c>
      <c r="F35" s="23">
        <f>SUM(B35:E35)</f>
        <v>1942.7400000000002</v>
      </c>
      <c r="G35" s="8">
        <f>ROUND(((N35)*$L$2+(N35)*0.3)/12,2)</f>
        <v>249.62</v>
      </c>
      <c r="H35" s="23"/>
      <c r="I35" s="8"/>
      <c r="J35" s="7">
        <f t="shared" si="27"/>
        <v>2153.5100000000002</v>
      </c>
      <c r="K35" s="7">
        <f>ROUND((F35)*40.38%+(+G35+H35+I35)*32.7%+(F35+G35+H35+I35)*1.61%+((B35+C35)-556.86*$L$2)*4.36%,2)</f>
        <v>955.41</v>
      </c>
      <c r="L35" s="25">
        <f>J35+K35</f>
        <v>3108.92</v>
      </c>
      <c r="M35" s="26"/>
      <c r="N35" s="24">
        <v>3099</v>
      </c>
      <c r="O35" s="24">
        <v>28693.65</v>
      </c>
      <c r="P35" s="37">
        <f>23.91*12</f>
        <v>286.92</v>
      </c>
      <c r="Q35" s="37">
        <v>3577.2</v>
      </c>
      <c r="R35" s="27"/>
      <c r="S35" s="28"/>
    </row>
    <row r="36" spans="1:19" ht="15" x14ac:dyDescent="0.2">
      <c r="B36" s="32"/>
      <c r="C36" s="32"/>
      <c r="D36" s="32"/>
      <c r="E36" s="32"/>
      <c r="F36" s="32"/>
      <c r="G36" s="33"/>
      <c r="H36" s="32"/>
      <c r="I36" s="33"/>
      <c r="J36" s="34"/>
      <c r="K36" s="34"/>
      <c r="L36" s="26"/>
      <c r="M36" s="26"/>
      <c r="N36" s="26"/>
      <c r="O36" s="35"/>
      <c r="P36" s="35"/>
      <c r="Q36" s="35"/>
      <c r="R36" s="27"/>
      <c r="S36" s="28"/>
    </row>
    <row r="37" spans="1:19" ht="15" x14ac:dyDescent="0.2">
      <c r="B37" s="32"/>
      <c r="C37" s="32"/>
      <c r="D37" s="32"/>
      <c r="E37" s="32"/>
      <c r="F37" s="32"/>
      <c r="G37" s="33"/>
      <c r="H37" s="32"/>
      <c r="I37" s="33"/>
      <c r="J37" s="34"/>
      <c r="K37" s="34"/>
      <c r="L37" s="26"/>
      <c r="M37" s="26"/>
      <c r="N37" s="26"/>
      <c r="O37" s="35"/>
      <c r="P37" s="35"/>
      <c r="Q37" s="35"/>
      <c r="R37" s="27"/>
      <c r="S37" s="28"/>
    </row>
    <row r="38" spans="1:19" ht="15" x14ac:dyDescent="0.2">
      <c r="A38" s="41" t="s">
        <v>29</v>
      </c>
      <c r="B38" s="1" t="s">
        <v>35</v>
      </c>
      <c r="C38" s="1"/>
      <c r="D38" s="31"/>
      <c r="E38" s="1"/>
      <c r="F38" s="1"/>
      <c r="P38" s="29"/>
      <c r="Q38" s="29"/>
      <c r="R38" s="30"/>
      <c r="S38" s="28"/>
    </row>
    <row r="39" spans="1:19" x14ac:dyDescent="0.2">
      <c r="B39" s="1"/>
      <c r="C39" s="1"/>
      <c r="D39" s="41" t="s">
        <v>34</v>
      </c>
      <c r="E39" s="1" t="s">
        <v>18</v>
      </c>
      <c r="F39" s="1"/>
    </row>
    <row r="40" spans="1:19" x14ac:dyDescent="0.2">
      <c r="B40" s="1"/>
      <c r="C40" s="1"/>
      <c r="D40" s="41" t="s">
        <v>30</v>
      </c>
      <c r="E40" s="1" t="s">
        <v>19</v>
      </c>
      <c r="F40" s="1"/>
    </row>
    <row r="41" spans="1:19" x14ac:dyDescent="0.2">
      <c r="B41" s="1"/>
      <c r="C41" s="1"/>
      <c r="D41" s="41" t="s">
        <v>31</v>
      </c>
      <c r="E41" s="1" t="s">
        <v>20</v>
      </c>
      <c r="F41" s="1"/>
    </row>
    <row r="42" spans="1:19" x14ac:dyDescent="0.2">
      <c r="B42" s="1"/>
      <c r="C42" s="1"/>
      <c r="D42" s="41" t="s">
        <v>32</v>
      </c>
      <c r="E42" s="1" t="s">
        <v>21</v>
      </c>
      <c r="F42" s="1"/>
    </row>
    <row r="43" spans="1:19" x14ac:dyDescent="0.2">
      <c r="B43" s="1"/>
      <c r="C43" s="1"/>
      <c r="D43" s="41" t="s">
        <v>33</v>
      </c>
      <c r="E43" s="1" t="s">
        <v>22</v>
      </c>
      <c r="F43" s="1"/>
    </row>
  </sheetData>
  <printOptions horizontalCentered="1"/>
  <pageMargins left="0" right="0" top="0.98425196850393704" bottom="0.98425196850393704" header="0.51181102362204722" footer="0.51181102362204722"/>
  <pageSetup paperSize="9" scale="53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0E97-59A4-4C55-99DD-E2633A34F597}">
  <sheetPr>
    <pageSetUpPr fitToPage="1"/>
  </sheetPr>
  <dimension ref="A1:S43"/>
  <sheetViews>
    <sheetView view="pageBreakPreview" zoomScaleSheetLayoutView="100" workbookViewId="0">
      <selection activeCell="L3" sqref="L3"/>
    </sheetView>
  </sheetViews>
  <sheetFormatPr defaultColWidth="12.28515625" defaultRowHeight="12.75" x14ac:dyDescent="0.2"/>
  <cols>
    <col min="1" max="1" width="22.5703125" style="6" customWidth="1"/>
    <col min="2" max="2" width="13.7109375" style="6" customWidth="1"/>
    <col min="3" max="4" width="9.7109375" style="6" bestFit="1" customWidth="1"/>
    <col min="5" max="5" width="14.28515625" style="6" customWidth="1"/>
    <col min="6" max="8" width="14.85546875" style="6" customWidth="1"/>
    <col min="9" max="9" width="16" style="6" customWidth="1"/>
    <col min="10" max="10" width="11.28515625" style="6" bestFit="1" customWidth="1"/>
    <col min="11" max="11" width="12.28515625" style="6" customWidth="1"/>
    <col min="12" max="12" width="14.42578125" style="6" customWidth="1"/>
    <col min="13" max="13" width="6" style="6" customWidth="1"/>
    <col min="14" max="14" width="12.42578125" style="6" bestFit="1" customWidth="1"/>
    <col min="15" max="15" width="13.85546875" style="6" customWidth="1"/>
    <col min="16" max="16" width="9.42578125" style="6" bestFit="1" customWidth="1"/>
    <col min="17" max="17" width="11.28515625" style="6" bestFit="1" customWidth="1"/>
    <col min="18" max="18" width="16.42578125" style="6" bestFit="1" customWidth="1"/>
    <col min="19" max="16384" width="12.28515625" style="6"/>
  </cols>
  <sheetData>
    <row r="1" spans="1:19" s="1" customFormat="1" ht="14.25" x14ac:dyDescent="0.2">
      <c r="A1" s="11" t="s">
        <v>24</v>
      </c>
      <c r="B1" s="11"/>
      <c r="C1" s="11"/>
      <c r="D1" s="11"/>
      <c r="E1" s="11"/>
      <c r="F1" s="11"/>
      <c r="G1" s="11"/>
      <c r="J1" s="4"/>
      <c r="K1" s="2"/>
    </row>
    <row r="2" spans="1:19" s="1" customFormat="1" ht="14.25" x14ac:dyDescent="0.2">
      <c r="A2" s="5"/>
      <c r="B2" s="11" t="s">
        <v>4</v>
      </c>
      <c r="C2" s="11"/>
      <c r="D2" s="11"/>
      <c r="E2" s="11"/>
      <c r="F2" s="11"/>
      <c r="G2" s="11"/>
      <c r="H2" s="11"/>
      <c r="I2" s="11"/>
      <c r="J2" s="9"/>
      <c r="L2" s="36">
        <v>0.5</v>
      </c>
      <c r="M2" s="9"/>
      <c r="N2" s="2"/>
      <c r="O2" s="2"/>
      <c r="P2" s="3"/>
    </row>
    <row r="4" spans="1:19" ht="29.25" customHeight="1" x14ac:dyDescent="0.2">
      <c r="B4" s="14"/>
      <c r="C4" s="14"/>
      <c r="D4" s="14"/>
      <c r="F4" s="15"/>
      <c r="G4" s="15"/>
      <c r="H4" s="15"/>
      <c r="I4" s="15"/>
      <c r="J4" s="14"/>
      <c r="L4" s="38" t="s">
        <v>41</v>
      </c>
      <c r="M4" s="38"/>
      <c r="N4" s="16"/>
      <c r="O4" s="13"/>
      <c r="P4" s="14"/>
      <c r="Q4" s="14"/>
      <c r="R4" s="14"/>
    </row>
    <row r="5" spans="1:19" ht="67.5" x14ac:dyDescent="0.2">
      <c r="A5" s="17" t="s">
        <v>13</v>
      </c>
      <c r="B5" s="18" t="s">
        <v>7</v>
      </c>
      <c r="C5" s="39" t="s">
        <v>5</v>
      </c>
      <c r="D5" s="17" t="s">
        <v>9</v>
      </c>
      <c r="E5" s="18" t="s">
        <v>6</v>
      </c>
      <c r="F5" s="17" t="s">
        <v>0</v>
      </c>
      <c r="G5" s="10" t="s">
        <v>39</v>
      </c>
      <c r="H5" s="10" t="s">
        <v>10</v>
      </c>
      <c r="I5" s="10" t="s">
        <v>23</v>
      </c>
      <c r="J5" s="18" t="s">
        <v>12</v>
      </c>
      <c r="K5" s="18" t="s">
        <v>14</v>
      </c>
      <c r="L5" s="18" t="s">
        <v>11</v>
      </c>
      <c r="M5" s="42"/>
      <c r="N5" s="19" t="s">
        <v>40</v>
      </c>
      <c r="O5" s="19" t="s">
        <v>8</v>
      </c>
      <c r="P5" s="20" t="s">
        <v>5</v>
      </c>
      <c r="Q5" s="19" t="s">
        <v>15</v>
      </c>
      <c r="R5" s="21"/>
    </row>
    <row r="6" spans="1:19" ht="9.7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S6" s="22"/>
    </row>
    <row r="7" spans="1:19" ht="15" x14ac:dyDescent="0.2">
      <c r="A7" s="20" t="s">
        <v>16</v>
      </c>
      <c r="B7" s="23">
        <f>ROUND(O7/12*$L$2,2)</f>
        <v>808.92</v>
      </c>
      <c r="C7" s="23"/>
      <c r="D7" s="23">
        <f>ROUND((B7+C7)/12,2)</f>
        <v>67.41</v>
      </c>
      <c r="E7" s="23">
        <f>ROUND(Q7/12*$L$2,2)</f>
        <v>68.599999999999994</v>
      </c>
      <c r="F7" s="23">
        <f>SUM(B7:E7)</f>
        <v>944.93</v>
      </c>
      <c r="G7" s="23"/>
      <c r="H7" s="8">
        <f>ROUND(140*$L$2,2)</f>
        <v>70</v>
      </c>
      <c r="I7" s="8">
        <f>ROUND(600/12,2)</f>
        <v>50</v>
      </c>
      <c r="J7" s="7">
        <f>ROUND(F7+G7+H7+I7-(F7)*2%,2)</f>
        <v>1046.03</v>
      </c>
      <c r="K7" s="7">
        <f>ROUND((F7)*40.38%+(+H7+I7)*32.7%+(F7+G7+H7+I7)*1.61%,2)</f>
        <v>437.95</v>
      </c>
      <c r="L7" s="25">
        <f>J7+K7</f>
        <v>1483.98</v>
      </c>
      <c r="M7" s="26"/>
      <c r="N7" s="26"/>
      <c r="O7" s="24">
        <v>19414.099999999999</v>
      </c>
      <c r="P7" s="24"/>
      <c r="Q7" s="37">
        <v>1646.36</v>
      </c>
      <c r="R7" s="27"/>
      <c r="S7" s="28"/>
    </row>
    <row r="8" spans="1:19" ht="15" x14ac:dyDescent="0.2">
      <c r="A8" s="20" t="s">
        <v>17</v>
      </c>
      <c r="B8" s="23">
        <f>ROUND(O8/12*$L$2,2)</f>
        <v>887.78</v>
      </c>
      <c r="C8" s="23"/>
      <c r="D8" s="23">
        <f t="shared" ref="D8:D11" si="0">ROUND((B8+C8)/12,2)</f>
        <v>73.98</v>
      </c>
      <c r="E8" s="23">
        <f t="shared" ref="E8:E11" si="1">ROUND(Q8/12*$L$2,2)</f>
        <v>68.599999999999994</v>
      </c>
      <c r="F8" s="23">
        <f>SUM(B8:E8)</f>
        <v>1030.3599999999999</v>
      </c>
      <c r="G8" s="23"/>
      <c r="H8" s="8">
        <f t="shared" ref="H8:H10" si="2">ROUND(140*$L$2,2)</f>
        <v>70</v>
      </c>
      <c r="I8" s="8">
        <f t="shared" ref="I8:I10" si="3">ROUND(600/12,2)</f>
        <v>50</v>
      </c>
      <c r="J8" s="7">
        <f t="shared" ref="J8:J11" si="4">ROUND(F8+G8+H8+I8-(F8)*2%,2)</f>
        <v>1129.75</v>
      </c>
      <c r="K8" s="7">
        <f t="shared" ref="K8:K10" si="5">ROUND((F8)*40.38%+(+H8+I8)*32.7%+(F8+G8+H8+I8)*1.61%,2)</f>
        <v>473.82</v>
      </c>
      <c r="L8" s="25">
        <f t="shared" ref="L8" si="6">J8+K8</f>
        <v>1603.57</v>
      </c>
      <c r="M8" s="26"/>
      <c r="N8" s="26"/>
      <c r="O8" s="24">
        <v>21306.79</v>
      </c>
      <c r="P8" s="24"/>
      <c r="Q8" s="37">
        <v>1646.36</v>
      </c>
      <c r="R8" s="27"/>
      <c r="S8" s="28"/>
    </row>
    <row r="9" spans="1:19" ht="15" x14ac:dyDescent="0.2">
      <c r="A9" s="20" t="s">
        <v>1</v>
      </c>
      <c r="B9" s="23">
        <f>ROUND(O9/12*$L$2,2)</f>
        <v>915.5</v>
      </c>
      <c r="C9" s="23"/>
      <c r="D9" s="23">
        <f t="shared" si="0"/>
        <v>76.290000000000006</v>
      </c>
      <c r="E9" s="23">
        <f t="shared" si="1"/>
        <v>91.13</v>
      </c>
      <c r="F9" s="23">
        <f>SUM(B9:E9)</f>
        <v>1082.92</v>
      </c>
      <c r="G9" s="23"/>
      <c r="H9" s="8">
        <f t="shared" si="2"/>
        <v>70</v>
      </c>
      <c r="I9" s="8">
        <f t="shared" si="3"/>
        <v>50</v>
      </c>
      <c r="J9" s="7">
        <f t="shared" si="4"/>
        <v>1181.26</v>
      </c>
      <c r="K9" s="7">
        <f t="shared" si="5"/>
        <v>495.89</v>
      </c>
      <c r="L9" s="25">
        <f>J9+K9</f>
        <v>1677.15</v>
      </c>
      <c r="M9" s="26"/>
      <c r="N9" s="26"/>
      <c r="O9" s="24">
        <v>21972.04</v>
      </c>
      <c r="P9" s="24"/>
      <c r="Q9" s="37">
        <v>2187.17</v>
      </c>
      <c r="R9" s="27"/>
      <c r="S9" s="28"/>
    </row>
    <row r="10" spans="1:19" ht="15" x14ac:dyDescent="0.2">
      <c r="A10" s="20" t="s">
        <v>2</v>
      </c>
      <c r="B10" s="23">
        <f>ROUND(O10/12*$L$2,2)</f>
        <v>1062.74</v>
      </c>
      <c r="C10" s="23"/>
      <c r="D10" s="23">
        <f t="shared" si="0"/>
        <v>88.56</v>
      </c>
      <c r="E10" s="23">
        <f t="shared" si="1"/>
        <v>126.1</v>
      </c>
      <c r="F10" s="23">
        <f>SUM(B10:E10)</f>
        <v>1277.3999999999999</v>
      </c>
      <c r="G10" s="23"/>
      <c r="H10" s="8">
        <f t="shared" si="2"/>
        <v>70</v>
      </c>
      <c r="I10" s="8">
        <f t="shared" si="3"/>
        <v>50</v>
      </c>
      <c r="J10" s="7">
        <f t="shared" si="4"/>
        <v>1371.85</v>
      </c>
      <c r="K10" s="7">
        <f t="shared" si="5"/>
        <v>577.54999999999995</v>
      </c>
      <c r="L10" s="25">
        <f>J10+K10</f>
        <v>1949.3999999999999</v>
      </c>
      <c r="M10" s="26"/>
      <c r="N10" s="26"/>
      <c r="O10" s="24">
        <v>25505.79</v>
      </c>
      <c r="P10" s="24"/>
      <c r="Q10" s="37">
        <v>3026.46</v>
      </c>
      <c r="R10" s="27"/>
      <c r="S10" s="28"/>
    </row>
    <row r="11" spans="1:19" ht="15" x14ac:dyDescent="0.2">
      <c r="A11" s="20" t="s">
        <v>3</v>
      </c>
      <c r="B11" s="23">
        <f>ROUND(O11/12*$L$2,2)</f>
        <v>1195.57</v>
      </c>
      <c r="C11" s="23"/>
      <c r="D11" s="23">
        <f t="shared" si="0"/>
        <v>99.63</v>
      </c>
      <c r="E11" s="23">
        <f t="shared" si="1"/>
        <v>149.05000000000001</v>
      </c>
      <c r="F11" s="23">
        <f>SUM(B11:E11)</f>
        <v>1444.2499999999998</v>
      </c>
      <c r="G11" s="8">
        <f>ROUND(((N11)*$L$2+(N11)*0.3)/12,2)</f>
        <v>206.6</v>
      </c>
      <c r="H11" s="23"/>
      <c r="I11" s="8"/>
      <c r="J11" s="7">
        <f t="shared" si="4"/>
        <v>1621.97</v>
      </c>
      <c r="K11" s="7">
        <f>ROUND((F11)*40.38%+(+G11+H11+I11)*32.7%+(F11+G11+H11+I11)*1.61%+((B11+C11)-556.86*$L$2)*4.36%,2)</f>
        <v>717.31</v>
      </c>
      <c r="L11" s="25">
        <f>J11+K11</f>
        <v>2339.2799999999997</v>
      </c>
      <c r="M11" s="26"/>
      <c r="N11" s="24">
        <v>3099</v>
      </c>
      <c r="O11" s="24">
        <v>28693.65</v>
      </c>
      <c r="P11" s="24"/>
      <c r="Q11" s="37">
        <v>3577.2</v>
      </c>
      <c r="R11" s="27"/>
      <c r="S11" s="28"/>
    </row>
    <row r="12" spans="1:19" ht="15" x14ac:dyDescent="0.2">
      <c r="B12" s="32"/>
      <c r="C12" s="32"/>
      <c r="D12" s="32"/>
      <c r="E12" s="32"/>
      <c r="F12" s="32"/>
      <c r="G12" s="33"/>
      <c r="H12" s="32"/>
      <c r="I12" s="33"/>
      <c r="J12" s="34"/>
      <c r="K12" s="34"/>
      <c r="L12" s="26"/>
      <c r="M12" s="26"/>
      <c r="N12" s="26"/>
      <c r="O12" s="35"/>
      <c r="P12" s="35"/>
      <c r="Q12" s="35"/>
      <c r="R12" s="27"/>
      <c r="S12" s="28"/>
    </row>
    <row r="13" spans="1:19" ht="29.25" customHeight="1" x14ac:dyDescent="0.2">
      <c r="B13" s="14"/>
      <c r="C13" s="14"/>
      <c r="D13" s="14"/>
      <c r="F13" s="15"/>
      <c r="G13" s="15"/>
      <c r="H13" s="15"/>
      <c r="I13" s="15"/>
      <c r="J13" s="14"/>
      <c r="L13" s="38" t="s">
        <v>42</v>
      </c>
      <c r="M13" s="38"/>
      <c r="N13" s="16"/>
      <c r="O13" s="13"/>
      <c r="P13" s="14"/>
      <c r="Q13" s="14"/>
      <c r="R13" s="14"/>
    </row>
    <row r="14" spans="1:19" ht="67.5" x14ac:dyDescent="0.2">
      <c r="A14" s="17" t="s">
        <v>13</v>
      </c>
      <c r="B14" s="18" t="s">
        <v>7</v>
      </c>
      <c r="C14" s="39" t="s">
        <v>38</v>
      </c>
      <c r="D14" s="17" t="s">
        <v>9</v>
      </c>
      <c r="E14" s="18" t="s">
        <v>6</v>
      </c>
      <c r="F14" s="17" t="s">
        <v>0</v>
      </c>
      <c r="G14" s="10" t="s">
        <v>39</v>
      </c>
      <c r="H14" s="10" t="s">
        <v>10</v>
      </c>
      <c r="I14" s="10" t="s">
        <v>23</v>
      </c>
      <c r="J14" s="18" t="s">
        <v>12</v>
      </c>
      <c r="K14" s="18" t="s">
        <v>14</v>
      </c>
      <c r="L14" s="18" t="s">
        <v>11</v>
      </c>
      <c r="M14" s="42"/>
      <c r="N14" s="19" t="s">
        <v>40</v>
      </c>
      <c r="O14" s="19" t="s">
        <v>8</v>
      </c>
      <c r="P14" s="20" t="s">
        <v>5</v>
      </c>
      <c r="Q14" s="19" t="s">
        <v>15</v>
      </c>
      <c r="R14" s="21"/>
    </row>
    <row r="15" spans="1:19" ht="9.75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S15" s="22"/>
    </row>
    <row r="16" spans="1:19" ht="15" x14ac:dyDescent="0.2">
      <c r="A16" s="40" t="s">
        <v>25</v>
      </c>
      <c r="B16" s="23">
        <f>ROUND(O16/12*$L$2,2)</f>
        <v>887.78</v>
      </c>
      <c r="C16" s="23">
        <f>ROUND((P16)/12*$L$2,2)</f>
        <v>0</v>
      </c>
      <c r="D16" s="23">
        <f t="shared" ref="D16:D19" si="7">ROUND((B16+C16)/12,2)</f>
        <v>73.98</v>
      </c>
      <c r="E16" s="23">
        <f t="shared" ref="E16:E19" si="8">ROUND(Q16/12*$L$2,2)</f>
        <v>68.599999999999994</v>
      </c>
      <c r="F16" s="23">
        <f>SUM(B16:E16)</f>
        <v>1030.3599999999999</v>
      </c>
      <c r="G16" s="23"/>
      <c r="H16" s="8">
        <f t="shared" ref="H16:H18" si="9">ROUND(140*$L$2,2)</f>
        <v>70</v>
      </c>
      <c r="I16" s="8">
        <f t="shared" ref="I16:I18" si="10">ROUND(600/12,2)</f>
        <v>50</v>
      </c>
      <c r="J16" s="7">
        <f t="shared" ref="J16:J19" si="11">ROUND(F16+G16+H16+I16-(F16)*2%,2)</f>
        <v>1129.75</v>
      </c>
      <c r="K16" s="7">
        <f t="shared" ref="K16:K18" si="12">ROUND((F16)*40.38%+(+H16+I16)*32.7%+(F16+G16+H16+I16)*1.61%,2)</f>
        <v>473.82</v>
      </c>
      <c r="L16" s="25">
        <f t="shared" ref="L16" si="13">J16+K16</f>
        <v>1603.57</v>
      </c>
      <c r="M16" s="26"/>
      <c r="N16" s="26"/>
      <c r="O16" s="24">
        <v>21306.79</v>
      </c>
      <c r="P16" s="37"/>
      <c r="Q16" s="37">
        <v>1646.36</v>
      </c>
      <c r="R16" s="27"/>
      <c r="S16" s="28"/>
    </row>
    <row r="17" spans="1:19" ht="15" x14ac:dyDescent="0.2">
      <c r="A17" s="40" t="s">
        <v>26</v>
      </c>
      <c r="B17" s="23">
        <f>ROUND(O17/12*$L$2,2)</f>
        <v>931.59</v>
      </c>
      <c r="C17" s="23">
        <f t="shared" ref="C17:C19" si="14">ROUND((P17)/12*$L$2,2)</f>
        <v>0</v>
      </c>
      <c r="D17" s="23">
        <f t="shared" si="7"/>
        <v>77.63</v>
      </c>
      <c r="E17" s="23">
        <f t="shared" si="8"/>
        <v>91.13</v>
      </c>
      <c r="F17" s="23">
        <f>SUM(B17:E17)</f>
        <v>1100.3499999999999</v>
      </c>
      <c r="G17" s="23"/>
      <c r="H17" s="8">
        <f t="shared" si="9"/>
        <v>70</v>
      </c>
      <c r="I17" s="8">
        <f t="shared" si="10"/>
        <v>50</v>
      </c>
      <c r="J17" s="7">
        <f t="shared" si="11"/>
        <v>1198.3399999999999</v>
      </c>
      <c r="K17" s="7">
        <f t="shared" si="12"/>
        <v>503.21</v>
      </c>
      <c r="L17" s="25">
        <f>J17+K17</f>
        <v>1701.55</v>
      </c>
      <c r="M17" s="26"/>
      <c r="N17" s="26"/>
      <c r="O17" s="24">
        <v>22358.04</v>
      </c>
      <c r="P17" s="37"/>
      <c r="Q17" s="37">
        <v>2187.17</v>
      </c>
      <c r="R17" s="27"/>
      <c r="S17" s="28"/>
    </row>
    <row r="18" spans="1:19" ht="15" x14ac:dyDescent="0.2">
      <c r="A18" s="40" t="s">
        <v>27</v>
      </c>
      <c r="B18" s="23">
        <f>ROUND(O18/12*$L$2,2)</f>
        <v>1062.74</v>
      </c>
      <c r="C18" s="23">
        <f t="shared" si="14"/>
        <v>0</v>
      </c>
      <c r="D18" s="23">
        <f t="shared" si="7"/>
        <v>88.56</v>
      </c>
      <c r="E18" s="23">
        <f t="shared" si="8"/>
        <v>126.1</v>
      </c>
      <c r="F18" s="23">
        <f>SUM(B18:E18)</f>
        <v>1277.3999999999999</v>
      </c>
      <c r="G18" s="23"/>
      <c r="H18" s="8">
        <f t="shared" si="9"/>
        <v>70</v>
      </c>
      <c r="I18" s="8">
        <f t="shared" si="10"/>
        <v>50</v>
      </c>
      <c r="J18" s="7">
        <f t="shared" si="11"/>
        <v>1371.85</v>
      </c>
      <c r="K18" s="7">
        <f t="shared" si="12"/>
        <v>577.54999999999995</v>
      </c>
      <c r="L18" s="25">
        <f>J18+K18</f>
        <v>1949.3999999999999</v>
      </c>
      <c r="M18" s="26"/>
      <c r="N18" s="26"/>
      <c r="O18" s="24">
        <v>25505.79</v>
      </c>
      <c r="P18" s="37"/>
      <c r="Q18" s="37">
        <v>3026.46</v>
      </c>
      <c r="R18" s="27"/>
      <c r="S18" s="28"/>
    </row>
    <row r="19" spans="1:19" ht="15" x14ac:dyDescent="0.2">
      <c r="A19" s="40" t="s">
        <v>28</v>
      </c>
      <c r="B19" s="23">
        <f>ROUND(O19/12*$L$2,2)</f>
        <v>1195.57</v>
      </c>
      <c r="C19" s="23">
        <f t="shared" si="14"/>
        <v>0</v>
      </c>
      <c r="D19" s="23">
        <f t="shared" si="7"/>
        <v>99.63</v>
      </c>
      <c r="E19" s="23">
        <f t="shared" si="8"/>
        <v>149.05000000000001</v>
      </c>
      <c r="F19" s="23">
        <f>SUM(B19:E19)</f>
        <v>1444.2499999999998</v>
      </c>
      <c r="G19" s="8">
        <f>ROUND(((N19)*$L$2+(N19)*0.3)/12,2)</f>
        <v>206.6</v>
      </c>
      <c r="H19" s="23"/>
      <c r="I19" s="8"/>
      <c r="J19" s="7">
        <f t="shared" si="11"/>
        <v>1621.97</v>
      </c>
      <c r="K19" s="7">
        <f>ROUND((F19)*40.38%+(+G19+H19+I19)*32.7%+(F19+G19+H19+I19)*1.61%+((B19+C19)-556.86*$L$2)*4.36%,2)</f>
        <v>717.31</v>
      </c>
      <c r="L19" s="25">
        <f>J19+K19</f>
        <v>2339.2799999999997</v>
      </c>
      <c r="M19" s="26"/>
      <c r="N19" s="24">
        <v>3099</v>
      </c>
      <c r="O19" s="24">
        <v>28693.65</v>
      </c>
      <c r="P19" s="37"/>
      <c r="Q19" s="37">
        <v>3577.2</v>
      </c>
      <c r="R19" s="27"/>
      <c r="S19" s="28"/>
    </row>
    <row r="20" spans="1:19" ht="15" x14ac:dyDescent="0.2">
      <c r="B20" s="32"/>
      <c r="C20" s="32"/>
      <c r="D20" s="32"/>
      <c r="E20" s="32"/>
      <c r="F20" s="32"/>
      <c r="G20" s="33"/>
      <c r="H20" s="32"/>
      <c r="I20" s="33"/>
      <c r="J20" s="34"/>
      <c r="K20" s="34"/>
      <c r="L20" s="26"/>
      <c r="M20" s="26"/>
      <c r="N20" s="26"/>
      <c r="O20" s="35"/>
      <c r="P20" s="35"/>
      <c r="Q20" s="35"/>
      <c r="R20" s="27"/>
      <c r="S20" s="28"/>
    </row>
    <row r="21" spans="1:19" ht="29.25" customHeight="1" x14ac:dyDescent="0.2">
      <c r="B21" s="14"/>
      <c r="C21" s="14"/>
      <c r="D21" s="14"/>
      <c r="F21" s="15"/>
      <c r="G21" s="15"/>
      <c r="H21" s="15"/>
      <c r="I21" s="15"/>
      <c r="J21" s="14"/>
      <c r="L21" s="38" t="s">
        <v>36</v>
      </c>
      <c r="M21" s="38"/>
      <c r="N21" s="16"/>
      <c r="O21" s="13"/>
      <c r="P21" s="14"/>
      <c r="Q21" s="14"/>
      <c r="R21" s="14"/>
    </row>
    <row r="22" spans="1:19" ht="67.5" x14ac:dyDescent="0.2">
      <c r="A22" s="17" t="s">
        <v>13</v>
      </c>
      <c r="B22" s="18" t="s">
        <v>7</v>
      </c>
      <c r="C22" s="39" t="s">
        <v>38</v>
      </c>
      <c r="D22" s="17" t="s">
        <v>9</v>
      </c>
      <c r="E22" s="18" t="s">
        <v>6</v>
      </c>
      <c r="F22" s="17" t="s">
        <v>0</v>
      </c>
      <c r="G22" s="10" t="s">
        <v>39</v>
      </c>
      <c r="H22" s="10" t="s">
        <v>10</v>
      </c>
      <c r="I22" s="10" t="s">
        <v>23</v>
      </c>
      <c r="J22" s="18" t="s">
        <v>12</v>
      </c>
      <c r="K22" s="18" t="s">
        <v>14</v>
      </c>
      <c r="L22" s="18" t="s">
        <v>11</v>
      </c>
      <c r="M22" s="42"/>
      <c r="N22" s="19" t="s">
        <v>40</v>
      </c>
      <c r="O22" s="19" t="s">
        <v>8</v>
      </c>
      <c r="P22" s="20" t="s">
        <v>5</v>
      </c>
      <c r="Q22" s="19" t="s">
        <v>15</v>
      </c>
      <c r="R22" s="21"/>
    </row>
    <row r="23" spans="1:19" ht="9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S23" s="22"/>
    </row>
    <row r="24" spans="1:19" ht="15" x14ac:dyDescent="0.2">
      <c r="A24" s="40" t="s">
        <v>25</v>
      </c>
      <c r="B24" s="23">
        <f>ROUND(O24/12*$L$2,2)</f>
        <v>887.78</v>
      </c>
      <c r="C24" s="23">
        <f>ROUND((P24)/12*$L$2,2)</f>
        <v>5.33</v>
      </c>
      <c r="D24" s="23">
        <f t="shared" ref="D24:D27" si="15">ROUND((B24+C24)/12,2)</f>
        <v>74.430000000000007</v>
      </c>
      <c r="E24" s="23">
        <f t="shared" ref="E24:E27" si="16">ROUND(Q24/12*$L$2,2)</f>
        <v>68.599999999999994</v>
      </c>
      <c r="F24" s="23">
        <f>SUM(B24:E24)</f>
        <v>1036.1399999999999</v>
      </c>
      <c r="G24" s="23"/>
      <c r="H24" s="8">
        <f t="shared" ref="H24:H26" si="17">ROUND(140*$L$2,2)</f>
        <v>70</v>
      </c>
      <c r="I24" s="8">
        <f t="shared" ref="I24:I26" si="18">ROUND(600/12,2)</f>
        <v>50</v>
      </c>
      <c r="J24" s="7">
        <f t="shared" ref="J24:J27" si="19">ROUND(F24+G24+H24+I24-(F24)*2%,2)</f>
        <v>1135.42</v>
      </c>
      <c r="K24" s="7">
        <f t="shared" ref="K24:K26" si="20">ROUND((F24)*40.38%+(+H24+I24)*32.7%+(F24+G24+H24+I24)*1.61%,2)</f>
        <v>476.25</v>
      </c>
      <c r="L24" s="25">
        <f t="shared" ref="L24" si="21">J24+K24</f>
        <v>1611.67</v>
      </c>
      <c r="M24" s="26"/>
      <c r="N24" s="26"/>
      <c r="O24" s="24">
        <v>21306.79</v>
      </c>
      <c r="P24" s="37">
        <f>10.65*12</f>
        <v>127.80000000000001</v>
      </c>
      <c r="Q24" s="37">
        <v>1646.36</v>
      </c>
      <c r="R24" s="27"/>
      <c r="S24" s="28"/>
    </row>
    <row r="25" spans="1:19" ht="15" x14ac:dyDescent="0.2">
      <c r="A25" s="40" t="s">
        <v>26</v>
      </c>
      <c r="B25" s="23">
        <f>ROUND(O25/12*$L$2,2)</f>
        <v>931.59</v>
      </c>
      <c r="C25" s="23">
        <f t="shared" ref="C25:C27" si="22">ROUND((P25)/12*$L$2,2)</f>
        <v>5.59</v>
      </c>
      <c r="D25" s="23">
        <f t="shared" si="15"/>
        <v>78.099999999999994</v>
      </c>
      <c r="E25" s="23">
        <f t="shared" si="16"/>
        <v>91.13</v>
      </c>
      <c r="F25" s="23">
        <f>SUM(B25:E25)</f>
        <v>1106.4100000000001</v>
      </c>
      <c r="G25" s="23"/>
      <c r="H25" s="8">
        <f t="shared" si="17"/>
        <v>70</v>
      </c>
      <c r="I25" s="8">
        <f t="shared" si="18"/>
        <v>50</v>
      </c>
      <c r="J25" s="7">
        <f t="shared" si="19"/>
        <v>1204.28</v>
      </c>
      <c r="K25" s="7">
        <f t="shared" si="20"/>
        <v>505.75</v>
      </c>
      <c r="L25" s="25">
        <f>J25+K25</f>
        <v>1710.03</v>
      </c>
      <c r="M25" s="26"/>
      <c r="N25" s="26"/>
      <c r="O25" s="24">
        <v>22358.04</v>
      </c>
      <c r="P25" s="37">
        <f>11.18*12</f>
        <v>134.16</v>
      </c>
      <c r="Q25" s="37">
        <v>2187.17</v>
      </c>
      <c r="R25" s="27"/>
      <c r="S25" s="28"/>
    </row>
    <row r="26" spans="1:19" ht="15" x14ac:dyDescent="0.2">
      <c r="A26" s="40" t="s">
        <v>27</v>
      </c>
      <c r="B26" s="23">
        <f>ROUND(O26/12*$L$2,2)</f>
        <v>1062.74</v>
      </c>
      <c r="C26" s="23">
        <f t="shared" si="22"/>
        <v>6.38</v>
      </c>
      <c r="D26" s="23">
        <f t="shared" si="15"/>
        <v>89.09</v>
      </c>
      <c r="E26" s="23">
        <f t="shared" si="16"/>
        <v>126.1</v>
      </c>
      <c r="F26" s="23">
        <f>SUM(B26:E26)</f>
        <v>1284.31</v>
      </c>
      <c r="G26" s="23"/>
      <c r="H26" s="8">
        <f t="shared" si="17"/>
        <v>70</v>
      </c>
      <c r="I26" s="8">
        <f t="shared" si="18"/>
        <v>50</v>
      </c>
      <c r="J26" s="7">
        <f t="shared" si="19"/>
        <v>1378.62</v>
      </c>
      <c r="K26" s="7">
        <f t="shared" si="20"/>
        <v>580.45000000000005</v>
      </c>
      <c r="L26" s="25">
        <f>J26+K26</f>
        <v>1959.07</v>
      </c>
      <c r="M26" s="26"/>
      <c r="N26" s="26"/>
      <c r="O26" s="24">
        <v>25505.79</v>
      </c>
      <c r="P26" s="37">
        <f>12.75*12</f>
        <v>153</v>
      </c>
      <c r="Q26" s="37">
        <v>3026.46</v>
      </c>
      <c r="R26" s="27"/>
      <c r="S26" s="28"/>
    </row>
    <row r="27" spans="1:19" ht="15" x14ac:dyDescent="0.2">
      <c r="A27" s="40" t="s">
        <v>28</v>
      </c>
      <c r="B27" s="23">
        <f>ROUND(O27/12*$L$2,2)</f>
        <v>1195.57</v>
      </c>
      <c r="C27" s="23">
        <f t="shared" si="22"/>
        <v>7.18</v>
      </c>
      <c r="D27" s="23">
        <f t="shared" si="15"/>
        <v>100.23</v>
      </c>
      <c r="E27" s="23">
        <f t="shared" si="16"/>
        <v>149.05000000000001</v>
      </c>
      <c r="F27" s="23">
        <f>SUM(B27:E27)</f>
        <v>1452.03</v>
      </c>
      <c r="G27" s="8">
        <f>ROUND(((N27)*$L$2+(N27)*0.3)/12,2)</f>
        <v>206.6</v>
      </c>
      <c r="H27" s="23"/>
      <c r="I27" s="8"/>
      <c r="J27" s="7">
        <f t="shared" si="19"/>
        <v>1629.59</v>
      </c>
      <c r="K27" s="7">
        <f>ROUND((F27)*40.38%+(+G27+H27+I27)*32.7%+(F27+G27+H27+I27)*1.61%+((B27+C27)-556.86*$L$2)*4.36%,2)</f>
        <v>720.89</v>
      </c>
      <c r="L27" s="25">
        <f>J27+K27</f>
        <v>2350.48</v>
      </c>
      <c r="M27" s="26"/>
      <c r="N27" s="24">
        <v>3099</v>
      </c>
      <c r="O27" s="24">
        <v>28693.65</v>
      </c>
      <c r="P27" s="37">
        <f>14.35*12</f>
        <v>172.2</v>
      </c>
      <c r="Q27" s="37">
        <v>3577.2</v>
      </c>
      <c r="R27" s="27"/>
      <c r="S27" s="28"/>
    </row>
    <row r="28" spans="1:19" ht="15" x14ac:dyDescent="0.2">
      <c r="B28" s="32"/>
      <c r="C28" s="32"/>
      <c r="D28" s="32"/>
      <c r="E28" s="32"/>
      <c r="F28" s="32"/>
      <c r="G28" s="33"/>
      <c r="H28" s="32"/>
      <c r="I28" s="33"/>
      <c r="J28" s="34"/>
      <c r="K28" s="34"/>
      <c r="L28" s="26"/>
      <c r="M28" s="26"/>
      <c r="N28" s="26"/>
      <c r="O28" s="35"/>
      <c r="P28" s="35"/>
      <c r="Q28" s="35"/>
      <c r="R28" s="27"/>
      <c r="S28" s="28"/>
    </row>
    <row r="29" spans="1:19" ht="29.25" customHeight="1" x14ac:dyDescent="0.2">
      <c r="B29" s="14"/>
      <c r="C29" s="14"/>
      <c r="D29" s="14"/>
      <c r="F29" s="15"/>
      <c r="G29" s="15"/>
      <c r="H29" s="15"/>
      <c r="I29" s="15"/>
      <c r="J29" s="14"/>
      <c r="L29" s="38" t="s">
        <v>37</v>
      </c>
      <c r="M29" s="38"/>
      <c r="N29" s="16"/>
      <c r="O29" s="13"/>
      <c r="P29" s="14"/>
      <c r="Q29" s="14"/>
      <c r="R29" s="14"/>
    </row>
    <row r="30" spans="1:19" ht="67.5" x14ac:dyDescent="0.2">
      <c r="A30" s="17" t="s">
        <v>13</v>
      </c>
      <c r="B30" s="18" t="s">
        <v>7</v>
      </c>
      <c r="C30" s="39" t="s">
        <v>38</v>
      </c>
      <c r="D30" s="17" t="s">
        <v>9</v>
      </c>
      <c r="E30" s="18" t="s">
        <v>6</v>
      </c>
      <c r="F30" s="17" t="s">
        <v>0</v>
      </c>
      <c r="G30" s="10" t="s">
        <v>39</v>
      </c>
      <c r="H30" s="10" t="s">
        <v>10</v>
      </c>
      <c r="I30" s="10" t="s">
        <v>23</v>
      </c>
      <c r="J30" s="18" t="s">
        <v>12</v>
      </c>
      <c r="K30" s="18" t="s">
        <v>14</v>
      </c>
      <c r="L30" s="18" t="s">
        <v>11</v>
      </c>
      <c r="M30" s="42"/>
      <c r="N30" s="19" t="s">
        <v>40</v>
      </c>
      <c r="O30" s="19" t="s">
        <v>8</v>
      </c>
      <c r="P30" s="20" t="s">
        <v>5</v>
      </c>
      <c r="Q30" s="19" t="s">
        <v>15</v>
      </c>
      <c r="R30" s="21"/>
    </row>
    <row r="31" spans="1:19" ht="9.75" customHeight="1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S31" s="22"/>
    </row>
    <row r="32" spans="1:19" ht="15" x14ac:dyDescent="0.2">
      <c r="A32" s="40" t="s">
        <v>25</v>
      </c>
      <c r="B32" s="23">
        <f>ROUND(O32/12*$L$2,2)</f>
        <v>887.78</v>
      </c>
      <c r="C32" s="23">
        <f>ROUND((P32)/12*$L$2,2)</f>
        <v>8.8800000000000008</v>
      </c>
      <c r="D32" s="23">
        <f t="shared" ref="D32:D35" si="23">ROUND((B32+C32)/12,2)</f>
        <v>74.72</v>
      </c>
      <c r="E32" s="23">
        <f t="shared" ref="E32:E35" si="24">ROUND(Q32/12*$L$2,2)</f>
        <v>68.599999999999994</v>
      </c>
      <c r="F32" s="23">
        <f>SUM(B32:E32)</f>
        <v>1039.98</v>
      </c>
      <c r="G32" s="23"/>
      <c r="H32" s="8">
        <f t="shared" ref="H32:H34" si="25">ROUND(140*$L$2,2)</f>
        <v>70</v>
      </c>
      <c r="I32" s="8">
        <f t="shared" ref="I32:I34" si="26">ROUND(600/12,2)</f>
        <v>50</v>
      </c>
      <c r="J32" s="7">
        <f t="shared" ref="J32:J35" si="27">ROUND(F32+G32+H32+I32-(F32)*2%,2)</f>
        <v>1139.18</v>
      </c>
      <c r="K32" s="7">
        <f t="shared" ref="K32:K34" si="28">ROUND((F32)*40.38%+(+H32+I32)*32.7%+(F32+G32+H32+I32)*1.61%,2)</f>
        <v>477.86</v>
      </c>
      <c r="L32" s="25">
        <f t="shared" ref="L32" si="29">J32+K32</f>
        <v>1617.04</v>
      </c>
      <c r="M32" s="26"/>
      <c r="N32" s="26"/>
      <c r="O32" s="24">
        <v>21306.79</v>
      </c>
      <c r="P32" s="37">
        <f>17.76*12</f>
        <v>213.12</v>
      </c>
      <c r="Q32" s="37">
        <v>1646.36</v>
      </c>
      <c r="R32" s="27"/>
      <c r="S32" s="28"/>
    </row>
    <row r="33" spans="1:19" ht="15" x14ac:dyDescent="0.2">
      <c r="A33" s="40" t="s">
        <v>26</v>
      </c>
      <c r="B33" s="23">
        <f>ROUND(O33/12*$L$2,2)</f>
        <v>931.59</v>
      </c>
      <c r="C33" s="23">
        <f t="shared" ref="C33:C35" si="30">ROUND((P33)/12*$L$2,2)</f>
        <v>9.32</v>
      </c>
      <c r="D33" s="23">
        <f t="shared" si="23"/>
        <v>78.41</v>
      </c>
      <c r="E33" s="23">
        <f t="shared" si="24"/>
        <v>91.13</v>
      </c>
      <c r="F33" s="23">
        <f>SUM(B33:E33)</f>
        <v>1110.45</v>
      </c>
      <c r="G33" s="23"/>
      <c r="H33" s="8">
        <f t="shared" si="25"/>
        <v>70</v>
      </c>
      <c r="I33" s="8">
        <f t="shared" si="26"/>
        <v>50</v>
      </c>
      <c r="J33" s="7">
        <f t="shared" si="27"/>
        <v>1208.24</v>
      </c>
      <c r="K33" s="7">
        <f t="shared" si="28"/>
        <v>507.45</v>
      </c>
      <c r="L33" s="25">
        <f>J33+K33</f>
        <v>1715.69</v>
      </c>
      <c r="M33" s="26"/>
      <c r="N33" s="26"/>
      <c r="O33" s="24">
        <v>22358.04</v>
      </c>
      <c r="P33" s="37">
        <f>18.63*12</f>
        <v>223.56</v>
      </c>
      <c r="Q33" s="37">
        <v>2187.17</v>
      </c>
      <c r="R33" s="27"/>
      <c r="S33" s="28"/>
    </row>
    <row r="34" spans="1:19" ht="15" x14ac:dyDescent="0.2">
      <c r="A34" s="40" t="s">
        <v>27</v>
      </c>
      <c r="B34" s="23">
        <f>ROUND(O34/12*$L$2,2)</f>
        <v>1062.74</v>
      </c>
      <c r="C34" s="23">
        <f t="shared" si="30"/>
        <v>10.63</v>
      </c>
      <c r="D34" s="23">
        <f t="shared" si="23"/>
        <v>89.45</v>
      </c>
      <c r="E34" s="23">
        <f t="shared" si="24"/>
        <v>126.1</v>
      </c>
      <c r="F34" s="23">
        <f>SUM(B34:E34)</f>
        <v>1288.92</v>
      </c>
      <c r="G34" s="23"/>
      <c r="H34" s="8">
        <f t="shared" si="25"/>
        <v>70</v>
      </c>
      <c r="I34" s="8">
        <f t="shared" si="26"/>
        <v>50</v>
      </c>
      <c r="J34" s="7">
        <f t="shared" si="27"/>
        <v>1383.14</v>
      </c>
      <c r="K34" s="7">
        <f t="shared" si="28"/>
        <v>582.39</v>
      </c>
      <c r="L34" s="25">
        <f>J34+K34</f>
        <v>1965.5300000000002</v>
      </c>
      <c r="M34" s="26"/>
      <c r="N34" s="26"/>
      <c r="O34" s="24">
        <v>25505.79</v>
      </c>
      <c r="P34" s="37">
        <f>21.25*12</f>
        <v>255</v>
      </c>
      <c r="Q34" s="37">
        <v>3026.46</v>
      </c>
      <c r="R34" s="27"/>
      <c r="S34" s="28"/>
    </row>
    <row r="35" spans="1:19" ht="15" x14ac:dyDescent="0.2">
      <c r="A35" s="40" t="s">
        <v>28</v>
      </c>
      <c r="B35" s="23">
        <f>ROUND(O35/12*$L$2,2)</f>
        <v>1195.57</v>
      </c>
      <c r="C35" s="23">
        <f t="shared" si="30"/>
        <v>11.96</v>
      </c>
      <c r="D35" s="23">
        <f t="shared" si="23"/>
        <v>100.63</v>
      </c>
      <c r="E35" s="23">
        <f t="shared" si="24"/>
        <v>149.05000000000001</v>
      </c>
      <c r="F35" s="23">
        <f>SUM(B35:E35)</f>
        <v>1457.2099999999998</v>
      </c>
      <c r="G35" s="8">
        <f>ROUND(((N35)*$L$2+(N35)*0.3)/12,2)</f>
        <v>206.6</v>
      </c>
      <c r="H35" s="23"/>
      <c r="I35" s="8"/>
      <c r="J35" s="7">
        <f t="shared" si="27"/>
        <v>1634.67</v>
      </c>
      <c r="K35" s="7">
        <f>ROUND((F35)*40.38%+(+G35+H35+I35)*32.7%+(F35+G35+H35+I35)*1.61%+((B35+C35)-556.86*$L$2)*4.36%,2)</f>
        <v>723.28</v>
      </c>
      <c r="L35" s="25">
        <f>J35+K35</f>
        <v>2357.9499999999998</v>
      </c>
      <c r="M35" s="26"/>
      <c r="N35" s="24">
        <v>3099</v>
      </c>
      <c r="O35" s="24">
        <v>28693.65</v>
      </c>
      <c r="P35" s="37">
        <f>23.91*12</f>
        <v>286.92</v>
      </c>
      <c r="Q35" s="37">
        <v>3577.2</v>
      </c>
      <c r="R35" s="27"/>
      <c r="S35" s="28"/>
    </row>
    <row r="36" spans="1:19" ht="15" x14ac:dyDescent="0.2">
      <c r="B36" s="32"/>
      <c r="C36" s="32"/>
      <c r="D36" s="32"/>
      <c r="E36" s="32"/>
      <c r="F36" s="32"/>
      <c r="G36" s="33"/>
      <c r="H36" s="32"/>
      <c r="I36" s="33"/>
      <c r="J36" s="34"/>
      <c r="K36" s="34"/>
      <c r="L36" s="26"/>
      <c r="M36" s="26"/>
      <c r="N36" s="26"/>
      <c r="O36" s="35"/>
      <c r="P36" s="35"/>
      <c r="Q36" s="35"/>
      <c r="R36" s="27"/>
      <c r="S36" s="28"/>
    </row>
    <row r="37" spans="1:19" ht="15" x14ac:dyDescent="0.2">
      <c r="B37" s="32"/>
      <c r="C37" s="32"/>
      <c r="D37" s="32"/>
      <c r="E37" s="32"/>
      <c r="F37" s="32"/>
      <c r="G37" s="33"/>
      <c r="H37" s="32"/>
      <c r="I37" s="33"/>
      <c r="J37" s="34"/>
      <c r="K37" s="34"/>
      <c r="L37" s="26"/>
      <c r="M37" s="26"/>
      <c r="N37" s="26"/>
      <c r="O37" s="35"/>
      <c r="P37" s="35"/>
      <c r="Q37" s="35"/>
      <c r="R37" s="27"/>
      <c r="S37" s="28"/>
    </row>
    <row r="38" spans="1:19" ht="15" x14ac:dyDescent="0.2">
      <c r="A38" s="41" t="s">
        <v>29</v>
      </c>
      <c r="B38" s="1" t="s">
        <v>35</v>
      </c>
      <c r="C38" s="1"/>
      <c r="D38" s="31"/>
      <c r="E38" s="1"/>
      <c r="F38" s="1"/>
      <c r="P38" s="29"/>
      <c r="Q38" s="29"/>
      <c r="R38" s="30"/>
      <c r="S38" s="28"/>
    </row>
    <row r="39" spans="1:19" x14ac:dyDescent="0.2">
      <c r="B39" s="1"/>
      <c r="C39" s="1"/>
      <c r="D39" s="41" t="s">
        <v>34</v>
      </c>
      <c r="E39" s="1" t="s">
        <v>18</v>
      </c>
      <c r="F39" s="1"/>
    </row>
    <row r="40" spans="1:19" x14ac:dyDescent="0.2">
      <c r="B40" s="1"/>
      <c r="C40" s="1"/>
      <c r="D40" s="41" t="s">
        <v>30</v>
      </c>
      <c r="E40" s="1" t="s">
        <v>19</v>
      </c>
      <c r="F40" s="1"/>
    </row>
    <row r="41" spans="1:19" x14ac:dyDescent="0.2">
      <c r="B41" s="1"/>
      <c r="C41" s="1"/>
      <c r="D41" s="41" t="s">
        <v>31</v>
      </c>
      <c r="E41" s="1" t="s">
        <v>20</v>
      </c>
      <c r="F41" s="1"/>
    </row>
    <row r="42" spans="1:19" x14ac:dyDescent="0.2">
      <c r="B42" s="1"/>
      <c r="C42" s="1"/>
      <c r="D42" s="41" t="s">
        <v>32</v>
      </c>
      <c r="E42" s="1" t="s">
        <v>21</v>
      </c>
      <c r="F42" s="1"/>
    </row>
    <row r="43" spans="1:19" x14ac:dyDescent="0.2">
      <c r="B43" s="1"/>
      <c r="C43" s="1"/>
      <c r="D43" s="41" t="s">
        <v>33</v>
      </c>
      <c r="E43" s="1" t="s">
        <v>22</v>
      </c>
      <c r="F43" s="1"/>
    </row>
  </sheetData>
  <printOptions horizontalCentered="1"/>
  <pageMargins left="0" right="0" top="0.98425196850393704" bottom="0.98425196850393704" header="0.51181102362204722" footer="0.51181102362204722"/>
  <pageSetup paperSize="9" scale="53" orientation="landscape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NM FinDiv 100%</vt:lpstr>
      <vt:lpstr>NM FinDiv 83,33%</vt:lpstr>
      <vt:lpstr>NM FinDiv 66,66%</vt:lpstr>
      <vt:lpstr>NM FinDiv 50%</vt:lpstr>
    </vt:vector>
  </TitlesOfParts>
  <Company>UNIV. DEGLI  DI 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UNIV. DEGLI  DI  FIRENZE</dc:creator>
  <cp:lastModifiedBy>Rosangela Riva</cp:lastModifiedBy>
  <cp:lastPrinted>2018-04-20T10:50:32Z</cp:lastPrinted>
  <dcterms:created xsi:type="dcterms:W3CDTF">2003-05-21T09:14:45Z</dcterms:created>
  <dcterms:modified xsi:type="dcterms:W3CDTF">2026-02-23T14:14:37Z</dcterms:modified>
</cp:coreProperties>
</file>