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codeName="Questa_cartella_di_lavoro" defaultThemeVersion="124226"/>
  <mc:AlternateContent xmlns:mc="http://schemas.openxmlformats.org/markup-compatibility/2006">
    <mc:Choice Requires="x15">
      <x15ac:absPath xmlns:x15ac="http://schemas.microsoft.com/office/spreadsheetml/2010/11/ac" url="\\olmo.unifi.it\ASEF_DOCUMENTI_STIPENDI\DOCUMENTI STANZA 82_219\CCNL 2022-2024\"/>
    </mc:Choice>
  </mc:AlternateContent>
  <xr:revisionPtr revIDLastSave="0" documentId="13_ncr:1_{B0B4C3CE-8D82-4E20-8294-7EA5E25948CE}" xr6:coauthVersionLast="47" xr6:coauthVersionMax="47" xr10:uidLastSave="{00000000-0000-0000-0000-000000000000}"/>
  <bookViews>
    <workbookView xWindow="-120" yWindow="-120" windowWidth="29040" windowHeight="15720" firstSheet="11" activeTab="11" xr2:uid="{00000000-000D-0000-FFFF-FFFF00000000}"/>
  </bookViews>
  <sheets>
    <sheet name="2019" sheetId="6" r:id="rId1"/>
    <sheet name="2020" sheetId="8" r:id="rId2"/>
    <sheet name="2021" sheetId="9" r:id="rId3"/>
    <sheet name="genn-marzo 2022" sheetId="10" r:id="rId4"/>
    <sheet name="aprile giugno 2022" sheetId="11" r:id="rId5"/>
    <sheet name="da luglio 22 a dic 2022" sheetId="12" r:id="rId6"/>
    <sheet name="gennaio 2023" sheetId="15" r:id="rId7"/>
    <sheet name="da febb 2023 a dic 2023" sheetId="19" r:id="rId8"/>
    <sheet name="da genn a aprile 2024" sheetId="17" r:id="rId9"/>
    <sheet name="da maggio 2024 a mar 2025" sheetId="21" r:id="rId10"/>
    <sheet name="da aprile-giugno 2025" sheetId="23" r:id="rId11"/>
    <sheet name="da luglio 2025" sheetId="24" r:id="rId12"/>
    <sheet name="CCNL Economico 2022" sheetId="7" r:id="rId13"/>
    <sheet name="CCNL Ec 2022 Giur 2024" sheetId="18" r:id="rId14"/>
    <sheet name="CCNL Ec 22 Giur 24 Nuova Class" sheetId="20" r:id="rId15"/>
    <sheet name="IVC Nuova" sheetId="14" r:id="rId16"/>
    <sheet name="Emonum Acc 2023" sheetId="1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24" l="1"/>
  <c r="C46" i="24"/>
  <c r="J41" i="24"/>
  <c r="J40" i="24"/>
  <c r="E46" i="24"/>
  <c r="E32" i="23"/>
  <c r="E31" i="23"/>
  <c r="E30" i="23"/>
  <c r="E29" i="23"/>
  <c r="E28" i="23"/>
  <c r="E27" i="23"/>
  <c r="E26" i="23"/>
  <c r="E25" i="23"/>
  <c r="E24" i="23"/>
  <c r="E23" i="23"/>
  <c r="E22" i="23"/>
  <c r="E21" i="23"/>
  <c r="E20" i="23"/>
  <c r="E19" i="23"/>
  <c r="E18" i="23"/>
  <c r="E17" i="23"/>
  <c r="E16" i="23"/>
  <c r="E15" i="23"/>
  <c r="E14" i="23"/>
  <c r="E13" i="23"/>
  <c r="E12" i="23"/>
  <c r="E11" i="23"/>
  <c r="E10" i="23"/>
  <c r="E9" i="23"/>
  <c r="E8" i="23"/>
  <c r="E7" i="23"/>
  <c r="E6" i="23"/>
  <c r="E5" i="23"/>
  <c r="C41" i="24"/>
  <c r="C40" i="24"/>
  <c r="E32" i="24"/>
  <c r="C43" i="24" s="1"/>
  <c r="E31" i="24"/>
  <c r="E30" i="24"/>
  <c r="E29" i="24"/>
  <c r="E28" i="24"/>
  <c r="E27" i="24"/>
  <c r="C42" i="24" s="1"/>
  <c r="E26" i="24"/>
  <c r="E25" i="24"/>
  <c r="E24" i="24"/>
  <c r="E23" i="24"/>
  <c r="E22" i="24"/>
  <c r="E21" i="24"/>
  <c r="E20" i="24"/>
  <c r="E19" i="24"/>
  <c r="E18" i="24"/>
  <c r="E17" i="24"/>
  <c r="E16" i="24"/>
  <c r="E15" i="24"/>
  <c r="E14" i="24"/>
  <c r="E13" i="24"/>
  <c r="E5" i="24"/>
  <c r="C43" i="23" l="1"/>
  <c r="H43" i="23" s="1"/>
  <c r="I43" i="23" s="1"/>
  <c r="C42" i="23"/>
  <c r="H42" i="23" s="1"/>
  <c r="I42" i="23" s="1"/>
  <c r="C41" i="23"/>
  <c r="H41" i="23" s="1"/>
  <c r="I41" i="23" s="1"/>
  <c r="C40" i="23"/>
  <c r="H40" i="23" s="1"/>
  <c r="I40" i="23" s="1"/>
  <c r="W20" i="23"/>
  <c r="W21" i="23" s="1"/>
  <c r="H43" i="24"/>
  <c r="I43" i="24" s="1"/>
  <c r="D43" i="24"/>
  <c r="E43" i="24" s="1"/>
  <c r="H42" i="24"/>
  <c r="I42" i="24" s="1"/>
  <c r="D42" i="24"/>
  <c r="E42" i="24" s="1"/>
  <c r="H41" i="24"/>
  <c r="I41" i="24" s="1"/>
  <c r="D41" i="24"/>
  <c r="E41" i="24" s="1"/>
  <c r="H40" i="24"/>
  <c r="I40" i="24" s="1"/>
  <c r="E40" i="24"/>
  <c r="D43" i="23"/>
  <c r="D42" i="23"/>
  <c r="D41" i="23"/>
  <c r="E40" i="21"/>
  <c r="H40" i="21"/>
  <c r="I40" i="21" s="1"/>
  <c r="D41" i="21"/>
  <c r="E41" i="21"/>
  <c r="H41" i="21"/>
  <c r="I41" i="21" s="1"/>
  <c r="D42" i="21"/>
  <c r="E42" i="21" s="1"/>
  <c r="H42" i="21"/>
  <c r="I42" i="21" s="1"/>
  <c r="D43" i="21"/>
  <c r="E43" i="21"/>
  <c r="H43" i="21"/>
  <c r="I43" i="21" s="1"/>
  <c r="G9" i="17"/>
  <c r="G8" i="17"/>
  <c r="G7" i="17"/>
  <c r="G6" i="17"/>
  <c r="G5" i="17"/>
  <c r="B35" i="17"/>
  <c r="B34" i="17"/>
  <c r="B33" i="17"/>
  <c r="B32" i="17"/>
  <c r="B31" i="17"/>
  <c r="B30" i="17"/>
  <c r="B29" i="17"/>
  <c r="B28" i="17"/>
  <c r="B26" i="17"/>
  <c r="B25" i="17"/>
  <c r="B24" i="17"/>
  <c r="B23" i="17"/>
  <c r="B22" i="17"/>
  <c r="B21" i="17"/>
  <c r="B20" i="17"/>
  <c r="B19" i="17"/>
  <c r="B18" i="17"/>
  <c r="B17" i="17"/>
  <c r="B16" i="17"/>
  <c r="B15" i="17"/>
  <c r="B14" i="17"/>
  <c r="B13" i="17"/>
  <c r="B12" i="17"/>
  <c r="B11" i="17"/>
  <c r="B10" i="17"/>
  <c r="B9" i="17"/>
  <c r="B8" i="17"/>
  <c r="B7" i="17"/>
  <c r="B6" i="17"/>
  <c r="B5" i="17"/>
  <c r="B27" i="17"/>
  <c r="R27" i="17" s="1"/>
  <c r="Q27" i="17"/>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 i="14"/>
  <c r="F32" i="24"/>
  <c r="F31" i="24"/>
  <c r="F30" i="24"/>
  <c r="F29" i="24"/>
  <c r="K28" i="24"/>
  <c r="F28" i="24"/>
  <c r="F27" i="24"/>
  <c r="F26" i="24"/>
  <c r="F25" i="24"/>
  <c r="F24" i="24"/>
  <c r="F23" i="24"/>
  <c r="F22" i="24"/>
  <c r="K21" i="24"/>
  <c r="F21" i="24"/>
  <c r="F20" i="24"/>
  <c r="F19" i="24"/>
  <c r="F18" i="24"/>
  <c r="F17" i="24"/>
  <c r="F16" i="24"/>
  <c r="F15" i="24"/>
  <c r="F14" i="24"/>
  <c r="F13" i="24"/>
  <c r="F12" i="24"/>
  <c r="F11" i="24"/>
  <c r="F10" i="24"/>
  <c r="I9" i="24"/>
  <c r="F9" i="24"/>
  <c r="I8" i="24"/>
  <c r="F8" i="24"/>
  <c r="I7" i="24"/>
  <c r="F7" i="24"/>
  <c r="I6" i="24"/>
  <c r="F6" i="24"/>
  <c r="K5" i="24"/>
  <c r="I5" i="24"/>
  <c r="F5" i="24"/>
  <c r="K5" i="23"/>
  <c r="F32" i="23"/>
  <c r="F31" i="23"/>
  <c r="F30" i="23"/>
  <c r="F29" i="23"/>
  <c r="F28" i="23"/>
  <c r="F27" i="23"/>
  <c r="F26" i="23"/>
  <c r="F25" i="23"/>
  <c r="F24" i="23"/>
  <c r="F23" i="23"/>
  <c r="F22" i="23"/>
  <c r="F21" i="23"/>
  <c r="F20" i="23"/>
  <c r="F19" i="23"/>
  <c r="F18" i="23"/>
  <c r="F17" i="23"/>
  <c r="F16" i="23"/>
  <c r="F15" i="23"/>
  <c r="F14" i="23"/>
  <c r="F13" i="23"/>
  <c r="F12" i="23"/>
  <c r="F11" i="23"/>
  <c r="F10" i="23"/>
  <c r="I9" i="23"/>
  <c r="F9" i="23"/>
  <c r="I8" i="23"/>
  <c r="F8" i="23"/>
  <c r="I7" i="23"/>
  <c r="F7" i="23"/>
  <c r="I6" i="23"/>
  <c r="F6" i="23"/>
  <c r="I5" i="23"/>
  <c r="F5" i="23"/>
  <c r="F32" i="21"/>
  <c r="F31" i="21"/>
  <c r="F30" i="21"/>
  <c r="F29" i="21"/>
  <c r="F28" i="21"/>
  <c r="F27" i="21"/>
  <c r="F26" i="21"/>
  <c r="F25" i="21"/>
  <c r="F24" i="21"/>
  <c r="F23" i="21"/>
  <c r="F22" i="21"/>
  <c r="F21" i="21"/>
  <c r="F20" i="21"/>
  <c r="F19" i="21"/>
  <c r="F18" i="21"/>
  <c r="F17" i="21"/>
  <c r="F16" i="21"/>
  <c r="F15" i="21"/>
  <c r="F14" i="21"/>
  <c r="F13" i="21"/>
  <c r="F12" i="21"/>
  <c r="F11" i="21"/>
  <c r="F10" i="21"/>
  <c r="F9" i="21"/>
  <c r="F8" i="21"/>
  <c r="F7" i="21"/>
  <c r="F6" i="21"/>
  <c r="F5" i="21"/>
  <c r="G36" i="19"/>
  <c r="F36" i="19"/>
  <c r="E36" i="19"/>
  <c r="G35" i="19"/>
  <c r="F35" i="19"/>
  <c r="E35" i="19"/>
  <c r="G34" i="19"/>
  <c r="F34" i="19"/>
  <c r="E34" i="19"/>
  <c r="G33" i="19"/>
  <c r="F33" i="19"/>
  <c r="E33" i="19"/>
  <c r="N32" i="19"/>
  <c r="G32" i="19"/>
  <c r="F32" i="19"/>
  <c r="E32" i="19"/>
  <c r="N31" i="19"/>
  <c r="G31" i="19"/>
  <c r="F31" i="19"/>
  <c r="E31" i="19"/>
  <c r="N30" i="19"/>
  <c r="G30" i="19"/>
  <c r="F30" i="19"/>
  <c r="E30" i="19"/>
  <c r="G29" i="19"/>
  <c r="F29" i="19"/>
  <c r="E29" i="19"/>
  <c r="G28" i="19"/>
  <c r="F28" i="19"/>
  <c r="E28" i="19"/>
  <c r="G27" i="19"/>
  <c r="F27" i="19"/>
  <c r="E27" i="19"/>
  <c r="G26" i="19"/>
  <c r="F26" i="19"/>
  <c r="E26" i="19"/>
  <c r="G25" i="19"/>
  <c r="F25" i="19"/>
  <c r="E25" i="19"/>
  <c r="N24" i="19"/>
  <c r="G24" i="19"/>
  <c r="F24" i="19"/>
  <c r="E24" i="19"/>
  <c r="N23" i="19"/>
  <c r="G23" i="19"/>
  <c r="F23" i="19"/>
  <c r="E23" i="19"/>
  <c r="N22" i="19"/>
  <c r="G22" i="19"/>
  <c r="F22" i="19"/>
  <c r="E22" i="19"/>
  <c r="G21" i="19"/>
  <c r="F21" i="19"/>
  <c r="E21" i="19"/>
  <c r="G20" i="19"/>
  <c r="F20" i="19"/>
  <c r="E20" i="19"/>
  <c r="G19" i="19"/>
  <c r="F19" i="19"/>
  <c r="E19" i="19"/>
  <c r="G18" i="19"/>
  <c r="F18" i="19"/>
  <c r="E18" i="19"/>
  <c r="G17" i="19"/>
  <c r="F17" i="19"/>
  <c r="E17" i="19"/>
  <c r="N16" i="19"/>
  <c r="G16" i="19"/>
  <c r="F16" i="19"/>
  <c r="E16" i="19"/>
  <c r="N15" i="19"/>
  <c r="G15" i="19"/>
  <c r="F15" i="19"/>
  <c r="E15" i="19"/>
  <c r="N14" i="19"/>
  <c r="G14" i="19"/>
  <c r="F14" i="19"/>
  <c r="E14" i="19"/>
  <c r="G13" i="19"/>
  <c r="F13" i="19"/>
  <c r="E13" i="19"/>
  <c r="G12" i="19"/>
  <c r="F12" i="19"/>
  <c r="E12" i="19"/>
  <c r="G11" i="19"/>
  <c r="F11" i="19"/>
  <c r="E11" i="19"/>
  <c r="G10" i="19"/>
  <c r="F10" i="19"/>
  <c r="E10" i="19"/>
  <c r="G9" i="19"/>
  <c r="F9" i="19"/>
  <c r="E9" i="19"/>
  <c r="N8" i="19"/>
  <c r="G8" i="19"/>
  <c r="F8" i="19"/>
  <c r="E8" i="19"/>
  <c r="N7" i="19"/>
  <c r="G7" i="19"/>
  <c r="F7" i="19"/>
  <c r="E7" i="19"/>
  <c r="N6" i="19"/>
  <c r="G6" i="19"/>
  <c r="F6" i="19"/>
  <c r="E6" i="19"/>
  <c r="U24" i="18"/>
  <c r="U25" i="18"/>
  <c r="U26" i="18"/>
  <c r="U27" i="18"/>
  <c r="U28" i="18"/>
  <c r="U29" i="18"/>
  <c r="U30" i="18"/>
  <c r="U23" i="18"/>
  <c r="U16" i="18"/>
  <c r="U17" i="18"/>
  <c r="U18" i="18"/>
  <c r="U19" i="18"/>
  <c r="U20" i="18"/>
  <c r="U21" i="18"/>
  <c r="U22" i="18"/>
  <c r="U15" i="18"/>
  <c r="U12" i="18"/>
  <c r="U13" i="18"/>
  <c r="U14" i="18"/>
  <c r="U8" i="18"/>
  <c r="U9" i="18"/>
  <c r="U10" i="18"/>
  <c r="U11" i="18"/>
  <c r="U7" i="18"/>
  <c r="U36" i="18"/>
  <c r="U35" i="18"/>
  <c r="U34" i="18"/>
  <c r="U33" i="18"/>
  <c r="U32" i="18"/>
  <c r="U31" i="18"/>
  <c r="U37" i="18"/>
  <c r="K7" i="18"/>
  <c r="G38" i="18"/>
  <c r="T37" i="18"/>
  <c r="K37" i="18"/>
  <c r="J37" i="18"/>
  <c r="I37" i="18"/>
  <c r="G37" i="18"/>
  <c r="T36" i="18"/>
  <c r="K36" i="18"/>
  <c r="J36" i="18"/>
  <c r="I36" i="18"/>
  <c r="G36" i="18"/>
  <c r="T35" i="18"/>
  <c r="K35" i="18"/>
  <c r="J35" i="18"/>
  <c r="I35" i="18"/>
  <c r="G35" i="18"/>
  <c r="T34" i="18"/>
  <c r="K34" i="18"/>
  <c r="J34" i="18"/>
  <c r="I34" i="18"/>
  <c r="G34" i="18"/>
  <c r="T33" i="18"/>
  <c r="K33" i="18"/>
  <c r="J33" i="18"/>
  <c r="I33" i="18"/>
  <c r="G33" i="18"/>
  <c r="T32" i="18"/>
  <c r="K32" i="18"/>
  <c r="J32" i="18"/>
  <c r="I32" i="18"/>
  <c r="G32" i="18"/>
  <c r="T31" i="18"/>
  <c r="K31" i="18"/>
  <c r="J31" i="18"/>
  <c r="I31" i="18"/>
  <c r="G31" i="18"/>
  <c r="T30" i="18"/>
  <c r="K30" i="18"/>
  <c r="J30" i="18"/>
  <c r="I30" i="18"/>
  <c r="G30" i="18"/>
  <c r="T29" i="18"/>
  <c r="K29" i="18"/>
  <c r="J29" i="18"/>
  <c r="I29" i="18"/>
  <c r="G29" i="18"/>
  <c r="T28" i="18"/>
  <c r="K28" i="18"/>
  <c r="J28" i="18"/>
  <c r="I28" i="18"/>
  <c r="G28" i="18"/>
  <c r="T27" i="18"/>
  <c r="K27" i="18"/>
  <c r="J27" i="18"/>
  <c r="I27" i="18"/>
  <c r="G27" i="18"/>
  <c r="T26" i="18"/>
  <c r="K26" i="18"/>
  <c r="J26" i="18"/>
  <c r="I26" i="18"/>
  <c r="G26" i="18"/>
  <c r="T25" i="18"/>
  <c r="K25" i="18"/>
  <c r="J25" i="18"/>
  <c r="I25" i="18"/>
  <c r="G25" i="18"/>
  <c r="T24" i="18"/>
  <c r="K24" i="18"/>
  <c r="J24" i="18"/>
  <c r="I24" i="18"/>
  <c r="G24" i="18"/>
  <c r="T23" i="18"/>
  <c r="K23" i="18"/>
  <c r="J23" i="18"/>
  <c r="I23" i="18"/>
  <c r="G23" i="18"/>
  <c r="T22" i="18"/>
  <c r="K22" i="18"/>
  <c r="J22" i="18"/>
  <c r="I22" i="18"/>
  <c r="G22" i="18"/>
  <c r="T21" i="18"/>
  <c r="K21" i="18"/>
  <c r="J21" i="18"/>
  <c r="I21" i="18"/>
  <c r="G21" i="18"/>
  <c r="T20" i="18"/>
  <c r="K20" i="18"/>
  <c r="J20" i="18"/>
  <c r="I20" i="18"/>
  <c r="G20" i="18"/>
  <c r="T19" i="18"/>
  <c r="K19" i="18"/>
  <c r="J19" i="18"/>
  <c r="I19" i="18"/>
  <c r="G19" i="18"/>
  <c r="T18" i="18"/>
  <c r="K18" i="18"/>
  <c r="J18" i="18"/>
  <c r="I18" i="18"/>
  <c r="G18" i="18"/>
  <c r="T17" i="18"/>
  <c r="K17" i="18"/>
  <c r="J17" i="18"/>
  <c r="I17" i="18"/>
  <c r="G17" i="18"/>
  <c r="T16" i="18"/>
  <c r="K16" i="18"/>
  <c r="J16" i="18"/>
  <c r="I16" i="18"/>
  <c r="G16" i="18"/>
  <c r="T15" i="18"/>
  <c r="K15" i="18"/>
  <c r="J15" i="18"/>
  <c r="I15" i="18"/>
  <c r="G15" i="18"/>
  <c r="T14" i="18"/>
  <c r="K14" i="18"/>
  <c r="J14" i="18"/>
  <c r="I14" i="18"/>
  <c r="G14" i="18"/>
  <c r="T13" i="18"/>
  <c r="K13" i="18"/>
  <c r="J13" i="18"/>
  <c r="I13" i="18"/>
  <c r="G13" i="18"/>
  <c r="T12" i="18"/>
  <c r="K12" i="18"/>
  <c r="J12" i="18"/>
  <c r="I12" i="18"/>
  <c r="G12" i="18"/>
  <c r="T11" i="18"/>
  <c r="K11" i="18"/>
  <c r="J11" i="18"/>
  <c r="I11" i="18"/>
  <c r="G11" i="18"/>
  <c r="T10" i="18"/>
  <c r="K10" i="18"/>
  <c r="J10" i="18"/>
  <c r="I10" i="18"/>
  <c r="G10" i="18"/>
  <c r="T9" i="18"/>
  <c r="K9" i="18"/>
  <c r="J9" i="18"/>
  <c r="I9" i="18"/>
  <c r="G9" i="18"/>
  <c r="T8" i="18"/>
  <c r="K8" i="18"/>
  <c r="J8" i="18"/>
  <c r="I8" i="18"/>
  <c r="G8" i="18"/>
  <c r="T7" i="18"/>
  <c r="J7" i="18"/>
  <c r="I7" i="18"/>
  <c r="G7" i="18"/>
  <c r="F46" i="24" l="1"/>
  <c r="G46" i="24" s="1"/>
  <c r="E42" i="23"/>
  <c r="E43" i="23"/>
  <c r="E41" i="23"/>
  <c r="E40" i="23"/>
  <c r="J40" i="23" s="1"/>
  <c r="K40" i="24"/>
  <c r="M40" i="24" s="1"/>
  <c r="J42" i="24"/>
  <c r="K42" i="24"/>
  <c r="K41" i="24"/>
  <c r="K43" i="24"/>
  <c r="J43" i="24"/>
  <c r="K40" i="23"/>
  <c r="L40" i="23" s="1"/>
  <c r="J42" i="23"/>
  <c r="K42" i="23"/>
  <c r="K41" i="23"/>
  <c r="J41" i="23"/>
  <c r="K43" i="23"/>
  <c r="J43" i="23"/>
  <c r="J40" i="21"/>
  <c r="J42" i="21"/>
  <c r="K42" i="21"/>
  <c r="K43" i="21"/>
  <c r="L43" i="21" s="1"/>
  <c r="J43" i="21"/>
  <c r="K40" i="21"/>
  <c r="L40" i="21" s="1"/>
  <c r="J41" i="21"/>
  <c r="K41" i="21"/>
  <c r="K13" i="24"/>
  <c r="K21" i="23"/>
  <c r="K28" i="23"/>
  <c r="K13" i="23"/>
  <c r="K13" i="21"/>
  <c r="K21" i="21"/>
  <c r="K28" i="21"/>
  <c r="K5" i="21"/>
  <c r="H46" i="24" l="1"/>
  <c r="M42" i="24"/>
  <c r="L40" i="24"/>
  <c r="M43" i="24"/>
  <c r="M41" i="24"/>
  <c r="L42" i="24"/>
  <c r="L41" i="24"/>
  <c r="L43" i="24"/>
  <c r="M40" i="23"/>
  <c r="L41" i="23"/>
  <c r="M42" i="23"/>
  <c r="M43" i="23"/>
  <c r="L43" i="23"/>
  <c r="M41" i="23"/>
  <c r="L42" i="23"/>
  <c r="M40" i="21"/>
  <c r="M43" i="21"/>
  <c r="M41" i="21"/>
  <c r="M42" i="21"/>
  <c r="L41" i="21"/>
  <c r="L42" i="21"/>
  <c r="E4" i="14"/>
  <c r="L8" i="18" s="1"/>
  <c r="E5" i="14"/>
  <c r="L9" i="18" s="1"/>
  <c r="E6" i="14"/>
  <c r="L10" i="18" s="1"/>
  <c r="E7" i="14"/>
  <c r="L11" i="18" s="1"/>
  <c r="E8" i="14"/>
  <c r="L12" i="18" s="1"/>
  <c r="E9" i="14"/>
  <c r="L13" i="18" s="1"/>
  <c r="E10" i="14"/>
  <c r="E11" i="14"/>
  <c r="L15" i="18" s="1"/>
  <c r="E12" i="14"/>
  <c r="L16" i="18" s="1"/>
  <c r="E13" i="14"/>
  <c r="L17" i="18" s="1"/>
  <c r="E14" i="14"/>
  <c r="L18" i="18" s="1"/>
  <c r="E15" i="14"/>
  <c r="L19" i="18" s="1"/>
  <c r="E16" i="14"/>
  <c r="L20" i="18" s="1"/>
  <c r="E17" i="14"/>
  <c r="L21" i="18" s="1"/>
  <c r="E18" i="14"/>
  <c r="E19" i="14"/>
  <c r="L23" i="18" s="1"/>
  <c r="E20" i="14"/>
  <c r="L24" i="18" s="1"/>
  <c r="E21" i="14"/>
  <c r="L25" i="18" s="1"/>
  <c r="E22" i="14"/>
  <c r="L26" i="18" s="1"/>
  <c r="E23" i="14"/>
  <c r="L27" i="18" s="1"/>
  <c r="E24" i="14"/>
  <c r="L28" i="18" s="1"/>
  <c r="E25" i="14"/>
  <c r="E26" i="14"/>
  <c r="L30" i="18" s="1"/>
  <c r="E27" i="14"/>
  <c r="L31" i="18" s="1"/>
  <c r="E28" i="14"/>
  <c r="L32" i="18" s="1"/>
  <c r="E29" i="14"/>
  <c r="L33" i="18" s="1"/>
  <c r="E30" i="14"/>
  <c r="L34" i="18" s="1"/>
  <c r="E31" i="14"/>
  <c r="E32" i="14"/>
  <c r="L36" i="18" s="1"/>
  <c r="E33" i="14"/>
  <c r="L37" i="18" s="1"/>
  <c r="E34" i="14"/>
  <c r="E3" i="14"/>
  <c r="L7" i="18" s="1"/>
  <c r="E28" i="17" l="1"/>
  <c r="H28" i="17"/>
  <c r="I28" i="17" s="1"/>
  <c r="L22" i="18"/>
  <c r="E8" i="20"/>
  <c r="E7" i="20"/>
  <c r="L14" i="18"/>
  <c r="H34" i="17"/>
  <c r="I34" i="17" s="1"/>
  <c r="E34" i="17"/>
  <c r="E35" i="17"/>
  <c r="H35" i="17"/>
  <c r="I35" i="17" s="1"/>
  <c r="E9" i="20"/>
  <c r="L29" i="18"/>
  <c r="E10" i="20"/>
  <c r="L35" i="18"/>
  <c r="D35" i="17"/>
  <c r="D34" i="17"/>
  <c r="D33" i="17"/>
  <c r="D32" i="17"/>
  <c r="N31" i="17"/>
  <c r="D31" i="17"/>
  <c r="N30" i="17"/>
  <c r="D30" i="17"/>
  <c r="N29" i="17"/>
  <c r="D29" i="17"/>
  <c r="D28" i="17"/>
  <c r="D27" i="17"/>
  <c r="D26" i="17"/>
  <c r="D25" i="17"/>
  <c r="D24" i="17"/>
  <c r="N23" i="17"/>
  <c r="D23" i="17"/>
  <c r="N22" i="17"/>
  <c r="D22" i="17"/>
  <c r="N21" i="17"/>
  <c r="D21" i="17"/>
  <c r="D20" i="17"/>
  <c r="D19" i="17"/>
  <c r="D18" i="17"/>
  <c r="D17" i="17"/>
  <c r="D16" i="17"/>
  <c r="N15" i="17"/>
  <c r="D15" i="17"/>
  <c r="N14" i="17"/>
  <c r="D14" i="17"/>
  <c r="N13" i="17"/>
  <c r="D13" i="17"/>
  <c r="D12" i="17"/>
  <c r="D11" i="17"/>
  <c r="D10" i="17"/>
  <c r="D9" i="17"/>
  <c r="D8" i="17"/>
  <c r="N7" i="17"/>
  <c r="D7" i="17"/>
  <c r="N6" i="17"/>
  <c r="D6" i="17"/>
  <c r="N5" i="17"/>
  <c r="D5" i="17"/>
  <c r="G30" i="24" l="1"/>
  <c r="L30" i="24"/>
  <c r="N30" i="24" s="1"/>
  <c r="L29" i="24"/>
  <c r="N29" i="24" s="1"/>
  <c r="G29" i="24"/>
  <c r="H9" i="17"/>
  <c r="I9" i="17"/>
  <c r="E9" i="17"/>
  <c r="J9" i="17" s="1"/>
  <c r="H13" i="17"/>
  <c r="I13" i="17" s="1"/>
  <c r="E13" i="17"/>
  <c r="H17" i="17"/>
  <c r="I17" i="17" s="1"/>
  <c r="E17" i="17"/>
  <c r="G9" i="21"/>
  <c r="L9" i="21"/>
  <c r="N9" i="21" s="1"/>
  <c r="G13" i="21"/>
  <c r="L13" i="21"/>
  <c r="N13" i="21" s="1"/>
  <c r="G17" i="21"/>
  <c r="L17" i="21"/>
  <c r="N17" i="21" s="1"/>
  <c r="G21" i="21"/>
  <c r="L21" i="21"/>
  <c r="N21" i="21" s="1"/>
  <c r="L25" i="21"/>
  <c r="N25" i="21" s="1"/>
  <c r="G25" i="21"/>
  <c r="G28" i="21"/>
  <c r="L28" i="21"/>
  <c r="N28" i="21" s="1"/>
  <c r="L5" i="23"/>
  <c r="N5" i="23" s="1"/>
  <c r="P5" i="23" s="1"/>
  <c r="G5" i="23"/>
  <c r="G7" i="24"/>
  <c r="L7" i="24"/>
  <c r="N7" i="24" s="1"/>
  <c r="G11" i="24"/>
  <c r="L11" i="24"/>
  <c r="N11" i="24" s="1"/>
  <c r="G15" i="24"/>
  <c r="L15" i="24"/>
  <c r="N15" i="24" s="1"/>
  <c r="L19" i="24"/>
  <c r="N19" i="24" s="1"/>
  <c r="G19" i="24"/>
  <c r="G23" i="24"/>
  <c r="L23" i="24"/>
  <c r="N23" i="24" s="1"/>
  <c r="G30" i="21"/>
  <c r="L30" i="21"/>
  <c r="N30" i="21" s="1"/>
  <c r="E32" i="17"/>
  <c r="H32" i="17"/>
  <c r="I32" i="17" s="1"/>
  <c r="G6" i="23"/>
  <c r="L6" i="23"/>
  <c r="N6" i="23" s="1"/>
  <c r="P6" i="23" s="1"/>
  <c r="G10" i="23"/>
  <c r="L10" i="23"/>
  <c r="N10" i="23" s="1"/>
  <c r="G14" i="23"/>
  <c r="L14" i="23"/>
  <c r="N14" i="23" s="1"/>
  <c r="G18" i="23"/>
  <c r="L18" i="23"/>
  <c r="N18" i="23" s="1"/>
  <c r="L22" i="23"/>
  <c r="N22" i="23" s="1"/>
  <c r="G22" i="23"/>
  <c r="L26" i="23"/>
  <c r="N26" i="23" s="1"/>
  <c r="G26" i="23"/>
  <c r="G29" i="23"/>
  <c r="L29" i="23"/>
  <c r="N29" i="23" s="1"/>
  <c r="L8" i="23"/>
  <c r="N8" i="23" s="1"/>
  <c r="G8" i="23"/>
  <c r="G16" i="21"/>
  <c r="L16" i="21"/>
  <c r="N16" i="21" s="1"/>
  <c r="G24" i="23"/>
  <c r="L24" i="23"/>
  <c r="N24" i="23" s="1"/>
  <c r="L9" i="23"/>
  <c r="N9" i="23" s="1"/>
  <c r="G9" i="23"/>
  <c r="G13" i="23"/>
  <c r="L13" i="23"/>
  <c r="N13" i="23" s="1"/>
  <c r="L17" i="23"/>
  <c r="N17" i="23" s="1"/>
  <c r="G17" i="23"/>
  <c r="G21" i="23"/>
  <c r="L21" i="23"/>
  <c r="N21" i="23" s="1"/>
  <c r="G25" i="23"/>
  <c r="L25" i="23"/>
  <c r="N25" i="23" s="1"/>
  <c r="G28" i="23"/>
  <c r="L28" i="23"/>
  <c r="N28" i="23" s="1"/>
  <c r="G5" i="21"/>
  <c r="L5" i="21"/>
  <c r="N5" i="21" s="1"/>
  <c r="L7" i="21"/>
  <c r="N7" i="21" s="1"/>
  <c r="G7" i="21"/>
  <c r="O7" i="21" s="1"/>
  <c r="E11" i="17"/>
  <c r="H11" i="17"/>
  <c r="I11" i="17" s="1"/>
  <c r="G15" i="21"/>
  <c r="L15" i="21"/>
  <c r="N15" i="21" s="1"/>
  <c r="E19" i="17"/>
  <c r="H19" i="17"/>
  <c r="I19" i="17" s="1"/>
  <c r="G23" i="21"/>
  <c r="L23" i="21"/>
  <c r="N23" i="21" s="1"/>
  <c r="L31" i="24"/>
  <c r="N31" i="24" s="1"/>
  <c r="G31" i="24"/>
  <c r="L6" i="24"/>
  <c r="N6" i="24" s="1"/>
  <c r="G6" i="24"/>
  <c r="O6" i="24" s="1"/>
  <c r="L10" i="24"/>
  <c r="N10" i="24" s="1"/>
  <c r="P10" i="24" s="1"/>
  <c r="G10" i="24"/>
  <c r="L14" i="24"/>
  <c r="N14" i="24" s="1"/>
  <c r="G14" i="24"/>
  <c r="G18" i="24"/>
  <c r="L18" i="24"/>
  <c r="N18" i="24" s="1"/>
  <c r="G22" i="24"/>
  <c r="L22" i="24"/>
  <c r="N22" i="24" s="1"/>
  <c r="G26" i="24"/>
  <c r="L26" i="24"/>
  <c r="N26" i="24" s="1"/>
  <c r="G8" i="24"/>
  <c r="L8" i="24"/>
  <c r="N8" i="24" s="1"/>
  <c r="P8" i="24" s="1"/>
  <c r="E16" i="17"/>
  <c r="H16" i="17"/>
  <c r="I16" i="17" s="1"/>
  <c r="G24" i="24"/>
  <c r="L24" i="24"/>
  <c r="N24" i="24" s="1"/>
  <c r="L9" i="24"/>
  <c r="N9" i="24" s="1"/>
  <c r="P9" i="24" s="1"/>
  <c r="G9" i="24"/>
  <c r="L13" i="24"/>
  <c r="N13" i="24" s="1"/>
  <c r="G13" i="24"/>
  <c r="G17" i="24"/>
  <c r="L17" i="24"/>
  <c r="N17" i="24" s="1"/>
  <c r="L21" i="24"/>
  <c r="N21" i="24" s="1"/>
  <c r="G21" i="24"/>
  <c r="G25" i="24"/>
  <c r="L25" i="24"/>
  <c r="N25" i="24" s="1"/>
  <c r="G28" i="24"/>
  <c r="L28" i="24"/>
  <c r="N28" i="24" s="1"/>
  <c r="L5" i="24"/>
  <c r="N5" i="24" s="1"/>
  <c r="P5" i="24" s="1"/>
  <c r="G5" i="24"/>
  <c r="E7" i="17"/>
  <c r="H7" i="17"/>
  <c r="I7" i="17" s="1"/>
  <c r="G11" i="21"/>
  <c r="L11" i="21"/>
  <c r="N11" i="21" s="1"/>
  <c r="E15" i="17"/>
  <c r="H15" i="17"/>
  <c r="I15" i="17" s="1"/>
  <c r="G19" i="21"/>
  <c r="L19" i="21"/>
  <c r="N19" i="21" s="1"/>
  <c r="E23" i="17"/>
  <c r="H23" i="17"/>
  <c r="I23" i="17" s="1"/>
  <c r="G30" i="23"/>
  <c r="L30" i="23"/>
  <c r="N30" i="23" s="1"/>
  <c r="L31" i="21"/>
  <c r="N31" i="21" s="1"/>
  <c r="G31" i="21"/>
  <c r="G6" i="21"/>
  <c r="L6" i="21"/>
  <c r="N6" i="21" s="1"/>
  <c r="G10" i="21"/>
  <c r="L10" i="21"/>
  <c r="N10" i="21" s="1"/>
  <c r="P10" i="21" s="1"/>
  <c r="L14" i="21"/>
  <c r="N14" i="21" s="1"/>
  <c r="G14" i="21"/>
  <c r="G18" i="21"/>
  <c r="L18" i="21"/>
  <c r="N18" i="21" s="1"/>
  <c r="G22" i="21"/>
  <c r="L22" i="21"/>
  <c r="N22" i="21" s="1"/>
  <c r="G26" i="21"/>
  <c r="L26" i="21"/>
  <c r="N26" i="21" s="1"/>
  <c r="L29" i="21"/>
  <c r="N29" i="21" s="1"/>
  <c r="G29" i="21"/>
  <c r="G8" i="21"/>
  <c r="L8" i="21"/>
  <c r="N8" i="21" s="1"/>
  <c r="P8" i="21" s="1"/>
  <c r="L16" i="23"/>
  <c r="N16" i="23" s="1"/>
  <c r="G16" i="23"/>
  <c r="G24" i="21"/>
  <c r="L24" i="21"/>
  <c r="N24" i="21" s="1"/>
  <c r="H21" i="17"/>
  <c r="I21" i="17" s="1"/>
  <c r="E21" i="17"/>
  <c r="H25" i="17"/>
  <c r="I25" i="17" s="1"/>
  <c r="E25" i="17"/>
  <c r="H29" i="17"/>
  <c r="I29" i="17" s="1"/>
  <c r="E29" i="17"/>
  <c r="H5" i="17"/>
  <c r="I5" i="17" s="1"/>
  <c r="E5" i="17"/>
  <c r="G7" i="23"/>
  <c r="L7" i="23"/>
  <c r="N7" i="23" s="1"/>
  <c r="G11" i="23"/>
  <c r="L11" i="23"/>
  <c r="N11" i="23" s="1"/>
  <c r="L15" i="23"/>
  <c r="N15" i="23" s="1"/>
  <c r="G15" i="23"/>
  <c r="G19" i="23"/>
  <c r="L19" i="23"/>
  <c r="N19" i="23" s="1"/>
  <c r="G23" i="23"/>
  <c r="L23" i="23"/>
  <c r="N23" i="23" s="1"/>
  <c r="E31" i="17"/>
  <c r="H31" i="17"/>
  <c r="I31" i="17" s="1"/>
  <c r="G31" i="23"/>
  <c r="L31" i="23"/>
  <c r="N31" i="23" s="1"/>
  <c r="E6" i="17"/>
  <c r="H6" i="17"/>
  <c r="I6" i="17" s="1"/>
  <c r="E10" i="17"/>
  <c r="H10" i="17"/>
  <c r="I10" i="17" s="1"/>
  <c r="E14" i="17"/>
  <c r="H14" i="17"/>
  <c r="I14" i="17" s="1"/>
  <c r="E18" i="17"/>
  <c r="H18" i="17"/>
  <c r="I18" i="17" s="1"/>
  <c r="E22" i="17"/>
  <c r="H22" i="17"/>
  <c r="I22" i="17" s="1"/>
  <c r="H26" i="17"/>
  <c r="I26" i="17" s="1"/>
  <c r="E26" i="17"/>
  <c r="H30" i="17"/>
  <c r="I30" i="17" s="1"/>
  <c r="E30" i="17"/>
  <c r="E8" i="17"/>
  <c r="H8" i="17"/>
  <c r="I8" i="17" s="1"/>
  <c r="G16" i="24"/>
  <c r="L16" i="24"/>
  <c r="H24" i="17"/>
  <c r="I24" i="17" s="1"/>
  <c r="E24" i="17"/>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O10" i="23" l="1"/>
  <c r="O10" i="24"/>
  <c r="R10" i="24" s="1"/>
  <c r="O11" i="23"/>
  <c r="O5" i="21"/>
  <c r="J5" i="17"/>
  <c r="O5" i="24"/>
  <c r="Q5" i="24" s="1"/>
  <c r="P31" i="23"/>
  <c r="O31" i="23"/>
  <c r="P31" i="24"/>
  <c r="O31" i="24"/>
  <c r="O30" i="23"/>
  <c r="P30" i="23"/>
  <c r="P26" i="24"/>
  <c r="O26" i="24"/>
  <c r="P8" i="23"/>
  <c r="P7" i="24"/>
  <c r="P15" i="23"/>
  <c r="O15" i="23"/>
  <c r="O24" i="23"/>
  <c r="P24" i="23"/>
  <c r="P19" i="23"/>
  <c r="O19" i="23"/>
  <c r="P11" i="21"/>
  <c r="O25" i="23"/>
  <c r="P25" i="23"/>
  <c r="P22" i="23"/>
  <c r="O22" i="23"/>
  <c r="P7" i="23"/>
  <c r="O16" i="23"/>
  <c r="P16" i="23"/>
  <c r="P29" i="21"/>
  <c r="O29" i="21"/>
  <c r="O24" i="24"/>
  <c r="P24" i="24"/>
  <c r="P6" i="24"/>
  <c r="R6" i="24" s="1"/>
  <c r="O28" i="23"/>
  <c r="P28" i="23"/>
  <c r="P9" i="23"/>
  <c r="P6" i="21"/>
  <c r="O19" i="21"/>
  <c r="P19" i="21"/>
  <c r="P21" i="24"/>
  <c r="O21" i="24"/>
  <c r="O13" i="24"/>
  <c r="P13" i="24"/>
  <c r="O14" i="24"/>
  <c r="P14" i="24"/>
  <c r="O13" i="23"/>
  <c r="P13" i="23"/>
  <c r="O16" i="21"/>
  <c r="P16" i="21"/>
  <c r="O14" i="23"/>
  <c r="P14" i="23"/>
  <c r="P19" i="24"/>
  <c r="O19" i="24"/>
  <c r="O24" i="21"/>
  <c r="P24" i="21"/>
  <c r="O25" i="24"/>
  <c r="P25" i="24"/>
  <c r="H33" i="17"/>
  <c r="I33" i="17" s="1"/>
  <c r="E33" i="17"/>
  <c r="O22" i="21"/>
  <c r="P22" i="21"/>
  <c r="G12" i="24"/>
  <c r="L12" i="24"/>
  <c r="N12" i="24" s="1"/>
  <c r="G27" i="23"/>
  <c r="L27" i="23"/>
  <c r="N27" i="23" s="1"/>
  <c r="G20" i="24"/>
  <c r="L20" i="24"/>
  <c r="N20" i="24" s="1"/>
  <c r="G32" i="24"/>
  <c r="L32" i="24"/>
  <c r="N32" i="24" s="1"/>
  <c r="O14" i="21"/>
  <c r="P14" i="21"/>
  <c r="O6" i="21"/>
  <c r="J7" i="17"/>
  <c r="P17" i="24"/>
  <c r="O17" i="24"/>
  <c r="G12" i="21"/>
  <c r="L12" i="21"/>
  <c r="N12" i="21" s="1"/>
  <c r="O8" i="24"/>
  <c r="R8" i="24" s="1"/>
  <c r="P18" i="24"/>
  <c r="O18" i="24"/>
  <c r="L27" i="24"/>
  <c r="N27" i="24" s="1"/>
  <c r="G27" i="24"/>
  <c r="P7" i="21"/>
  <c r="R7" i="21" s="1"/>
  <c r="P17" i="23"/>
  <c r="O17" i="23"/>
  <c r="G20" i="21"/>
  <c r="L20" i="21"/>
  <c r="N20" i="21" s="1"/>
  <c r="P26" i="23"/>
  <c r="O26" i="23"/>
  <c r="O23" i="24"/>
  <c r="P23" i="24"/>
  <c r="P11" i="24"/>
  <c r="O7" i="24"/>
  <c r="O17" i="21"/>
  <c r="P17" i="21"/>
  <c r="P9" i="21"/>
  <c r="O29" i="24"/>
  <c r="P29" i="24"/>
  <c r="N16" i="24"/>
  <c r="J8" i="17"/>
  <c r="J6" i="17"/>
  <c r="O23" i="23"/>
  <c r="P23" i="23"/>
  <c r="O7" i="23"/>
  <c r="G32" i="23"/>
  <c r="L32" i="23"/>
  <c r="N32" i="23" s="1"/>
  <c r="O8" i="21"/>
  <c r="O26" i="21"/>
  <c r="P26" i="21"/>
  <c r="O11" i="21"/>
  <c r="O28" i="24"/>
  <c r="P28" i="24"/>
  <c r="Q28" i="24" s="1"/>
  <c r="E12" i="17"/>
  <c r="H12" i="17"/>
  <c r="I12" i="17" s="1"/>
  <c r="O22" i="24"/>
  <c r="P22" i="24"/>
  <c r="E27" i="17"/>
  <c r="H27" i="17"/>
  <c r="I27" i="17" s="1"/>
  <c r="O23" i="21"/>
  <c r="P23" i="21"/>
  <c r="J11" i="17"/>
  <c r="E20" i="17"/>
  <c r="H20" i="17"/>
  <c r="I20" i="17" s="1"/>
  <c r="P29" i="23"/>
  <c r="O29" i="23"/>
  <c r="P18" i="23"/>
  <c r="O18" i="23"/>
  <c r="P10" i="23"/>
  <c r="O15" i="24"/>
  <c r="P15" i="24"/>
  <c r="O11" i="24"/>
  <c r="O18" i="21"/>
  <c r="P18" i="21"/>
  <c r="O9" i="23"/>
  <c r="O25" i="21"/>
  <c r="P25" i="21"/>
  <c r="O9" i="21"/>
  <c r="P30" i="24"/>
  <c r="O30" i="24"/>
  <c r="J10" i="17"/>
  <c r="P11" i="23"/>
  <c r="R11" i="23" s="1"/>
  <c r="L32" i="21"/>
  <c r="N32" i="21" s="1"/>
  <c r="G32" i="21"/>
  <c r="O10" i="21"/>
  <c r="O31" i="21"/>
  <c r="P31" i="21"/>
  <c r="O9" i="24"/>
  <c r="R9" i="24" s="1"/>
  <c r="G12" i="23"/>
  <c r="L12" i="23"/>
  <c r="N12" i="23" s="1"/>
  <c r="P12" i="23" s="1"/>
  <c r="G27" i="21"/>
  <c r="L27" i="21"/>
  <c r="N27" i="21" s="1"/>
  <c r="O15" i="21"/>
  <c r="P15" i="21"/>
  <c r="P5" i="21"/>
  <c r="P21" i="23"/>
  <c r="O21" i="23"/>
  <c r="L20" i="23"/>
  <c r="N20" i="23" s="1"/>
  <c r="G20" i="23"/>
  <c r="O8" i="23"/>
  <c r="O6" i="23"/>
  <c r="R6" i="23" s="1"/>
  <c r="O30" i="21"/>
  <c r="P30" i="21"/>
  <c r="O5" i="23"/>
  <c r="R5" i="23" s="1"/>
  <c r="O28" i="21"/>
  <c r="P28" i="21"/>
  <c r="O21" i="21"/>
  <c r="P21" i="21"/>
  <c r="O13" i="21"/>
  <c r="P13" i="21"/>
  <c r="G36" i="15"/>
  <c r="F36" i="15"/>
  <c r="E36" i="15"/>
  <c r="G35" i="15"/>
  <c r="F35" i="15"/>
  <c r="E35" i="15"/>
  <c r="G34" i="15"/>
  <c r="F34" i="15"/>
  <c r="E34" i="15"/>
  <c r="G33" i="15"/>
  <c r="F33" i="15"/>
  <c r="E33" i="15"/>
  <c r="O32" i="15"/>
  <c r="G32" i="15"/>
  <c r="F32" i="15"/>
  <c r="E32" i="15"/>
  <c r="O31" i="15"/>
  <c r="G31" i="15"/>
  <c r="F31" i="15"/>
  <c r="E31" i="15"/>
  <c r="O30" i="15"/>
  <c r="G30" i="15"/>
  <c r="F30" i="15"/>
  <c r="E30" i="15"/>
  <c r="G29" i="15"/>
  <c r="F29" i="15"/>
  <c r="E29" i="15"/>
  <c r="G28" i="15"/>
  <c r="F28" i="15"/>
  <c r="E28" i="15"/>
  <c r="G27" i="15"/>
  <c r="F27" i="15"/>
  <c r="E27" i="15"/>
  <c r="G26" i="15"/>
  <c r="F26" i="15"/>
  <c r="E26" i="15"/>
  <c r="G25" i="15"/>
  <c r="F25" i="15"/>
  <c r="E25" i="15"/>
  <c r="O24" i="15"/>
  <c r="G24" i="15"/>
  <c r="F24" i="15"/>
  <c r="E24" i="15"/>
  <c r="O23" i="15"/>
  <c r="G23" i="15"/>
  <c r="F23" i="15"/>
  <c r="E23" i="15"/>
  <c r="O22" i="15"/>
  <c r="G22" i="15"/>
  <c r="F22" i="15"/>
  <c r="E22" i="15"/>
  <c r="G21" i="15"/>
  <c r="F21" i="15"/>
  <c r="E21" i="15"/>
  <c r="G20" i="15"/>
  <c r="F20" i="15"/>
  <c r="E20" i="15"/>
  <c r="G19" i="15"/>
  <c r="F19" i="15"/>
  <c r="E19" i="15"/>
  <c r="G18" i="15"/>
  <c r="F18" i="15"/>
  <c r="E18" i="15"/>
  <c r="G17" i="15"/>
  <c r="F17" i="15"/>
  <c r="E17" i="15"/>
  <c r="O16" i="15"/>
  <c r="G16" i="15"/>
  <c r="F16" i="15"/>
  <c r="E16" i="15"/>
  <c r="O15" i="15"/>
  <c r="G15" i="15"/>
  <c r="F15" i="15"/>
  <c r="E15" i="15"/>
  <c r="O14" i="15"/>
  <c r="G14" i="15"/>
  <c r="F14" i="15"/>
  <c r="E14" i="15"/>
  <c r="G13" i="15"/>
  <c r="F13" i="15"/>
  <c r="E13" i="15"/>
  <c r="G12" i="15"/>
  <c r="F12" i="15"/>
  <c r="E12" i="15"/>
  <c r="G11" i="15"/>
  <c r="F11" i="15"/>
  <c r="E11" i="15"/>
  <c r="G10" i="15"/>
  <c r="F10" i="15"/>
  <c r="E10" i="15"/>
  <c r="G9" i="15"/>
  <c r="F9" i="15"/>
  <c r="E9" i="15"/>
  <c r="O8" i="15"/>
  <c r="G8" i="15"/>
  <c r="F8" i="15"/>
  <c r="E8" i="15"/>
  <c r="O7" i="15"/>
  <c r="G7" i="15"/>
  <c r="F7" i="15"/>
  <c r="E7" i="15"/>
  <c r="O6" i="15"/>
  <c r="G6" i="15"/>
  <c r="F6" i="15"/>
  <c r="E6" i="15"/>
  <c r="I8" i="7"/>
  <c r="J8" i="7"/>
  <c r="B7" i="15" s="1"/>
  <c r="K8" i="7"/>
  <c r="B7" i="19" s="1"/>
  <c r="I9" i="7"/>
  <c r="J9" i="7"/>
  <c r="B8" i="15" s="1"/>
  <c r="K9" i="7"/>
  <c r="B8" i="19" s="1"/>
  <c r="I10" i="7"/>
  <c r="J10" i="7"/>
  <c r="B9" i="15" s="1"/>
  <c r="K10" i="7"/>
  <c r="B9" i="19" s="1"/>
  <c r="I11" i="7"/>
  <c r="J11" i="7"/>
  <c r="B10" i="15" s="1"/>
  <c r="K11" i="7"/>
  <c r="B10" i="19" s="1"/>
  <c r="I12" i="7"/>
  <c r="J12" i="7"/>
  <c r="B11" i="15" s="1"/>
  <c r="K12" i="7"/>
  <c r="B11" i="19" s="1"/>
  <c r="I13" i="7"/>
  <c r="J13" i="7"/>
  <c r="B12" i="15" s="1"/>
  <c r="K13" i="7"/>
  <c r="B12" i="19" s="1"/>
  <c r="I14" i="7"/>
  <c r="J14" i="7"/>
  <c r="B13" i="15" s="1"/>
  <c r="K14" i="7"/>
  <c r="B13" i="19" s="1"/>
  <c r="I15" i="7"/>
  <c r="J15" i="7"/>
  <c r="B14" i="15" s="1"/>
  <c r="K15" i="7"/>
  <c r="B14" i="19" s="1"/>
  <c r="I16" i="7"/>
  <c r="J16" i="7"/>
  <c r="B15" i="15" s="1"/>
  <c r="K16" i="7"/>
  <c r="B15" i="19" s="1"/>
  <c r="I17" i="7"/>
  <c r="J17" i="7"/>
  <c r="B16" i="15" s="1"/>
  <c r="K17" i="7"/>
  <c r="B16" i="19" s="1"/>
  <c r="I18" i="7"/>
  <c r="J18" i="7"/>
  <c r="B17" i="15" s="1"/>
  <c r="K18" i="7"/>
  <c r="B17" i="19" s="1"/>
  <c r="I19" i="7"/>
  <c r="J19" i="7"/>
  <c r="B18" i="15" s="1"/>
  <c r="K19" i="7"/>
  <c r="B18" i="19" s="1"/>
  <c r="I20" i="7"/>
  <c r="J20" i="7"/>
  <c r="B19" i="15" s="1"/>
  <c r="K20" i="7"/>
  <c r="B19" i="19" s="1"/>
  <c r="I21" i="7"/>
  <c r="J21" i="7"/>
  <c r="B20" i="15" s="1"/>
  <c r="K21" i="7"/>
  <c r="B20" i="19" s="1"/>
  <c r="I22" i="7"/>
  <c r="J22" i="7"/>
  <c r="B21" i="15" s="1"/>
  <c r="K22" i="7"/>
  <c r="B21" i="19" s="1"/>
  <c r="I23" i="7"/>
  <c r="J23" i="7"/>
  <c r="B22" i="15" s="1"/>
  <c r="K23" i="7"/>
  <c r="B22" i="19" s="1"/>
  <c r="I24" i="7"/>
  <c r="J24" i="7"/>
  <c r="B23" i="15" s="1"/>
  <c r="K24" i="7"/>
  <c r="B23" i="19" s="1"/>
  <c r="I25" i="7"/>
  <c r="J25" i="7"/>
  <c r="B24" i="15" s="1"/>
  <c r="K25" i="7"/>
  <c r="B24" i="19" s="1"/>
  <c r="I26" i="7"/>
  <c r="J26" i="7"/>
  <c r="B25" i="15" s="1"/>
  <c r="K26" i="7"/>
  <c r="B25" i="19" s="1"/>
  <c r="I27" i="7"/>
  <c r="J27" i="7"/>
  <c r="B26" i="15" s="1"/>
  <c r="K27" i="7"/>
  <c r="B26" i="19" s="1"/>
  <c r="I28" i="7"/>
  <c r="J28" i="7"/>
  <c r="B27" i="15" s="1"/>
  <c r="K28" i="7"/>
  <c r="B27" i="19" s="1"/>
  <c r="I29" i="7"/>
  <c r="J29" i="7"/>
  <c r="B28" i="15" s="1"/>
  <c r="K29" i="7"/>
  <c r="B28" i="19" s="1"/>
  <c r="I30" i="7"/>
  <c r="J30" i="7"/>
  <c r="B29" i="15" s="1"/>
  <c r="K30" i="7"/>
  <c r="B29" i="19" s="1"/>
  <c r="I31" i="7"/>
  <c r="J31" i="7"/>
  <c r="B30" i="15" s="1"/>
  <c r="K31" i="7"/>
  <c r="B30" i="19" s="1"/>
  <c r="I32" i="7"/>
  <c r="J32" i="7"/>
  <c r="B31" i="15" s="1"/>
  <c r="K32" i="7"/>
  <c r="B31" i="19" s="1"/>
  <c r="I33" i="7"/>
  <c r="J33" i="7"/>
  <c r="B32" i="15" s="1"/>
  <c r="K33" i="7"/>
  <c r="B32" i="19" s="1"/>
  <c r="I34" i="7"/>
  <c r="J34" i="7"/>
  <c r="B33" i="15" s="1"/>
  <c r="K34" i="7"/>
  <c r="B33" i="19" s="1"/>
  <c r="I35" i="7"/>
  <c r="J35" i="7"/>
  <c r="B34" i="15" s="1"/>
  <c r="K35" i="7"/>
  <c r="B34" i="19" s="1"/>
  <c r="I36" i="7"/>
  <c r="J36" i="7"/>
  <c r="B35" i="15" s="1"/>
  <c r="K36" i="7"/>
  <c r="B35" i="19" s="1"/>
  <c r="I37" i="7"/>
  <c r="J37" i="7"/>
  <c r="B36" i="15" s="1"/>
  <c r="K37" i="7"/>
  <c r="B36" i="19" s="1"/>
  <c r="K7" i="7"/>
  <c r="B6" i="19" s="1"/>
  <c r="J7" i="7"/>
  <c r="B6" i="15" s="1"/>
  <c r="I7" i="7"/>
  <c r="Q11" i="24" l="1"/>
  <c r="R10" i="23"/>
  <c r="R21" i="23"/>
  <c r="Q29" i="23"/>
  <c r="Q30" i="23"/>
  <c r="Q23" i="23"/>
  <c r="Q15" i="23"/>
  <c r="R18" i="23"/>
  <c r="R22" i="23"/>
  <c r="R17" i="24"/>
  <c r="Q7" i="24"/>
  <c r="Q31" i="24"/>
  <c r="R21" i="24"/>
  <c r="R22" i="24"/>
  <c r="Q10" i="24"/>
  <c r="Q24" i="24"/>
  <c r="Q17" i="21"/>
  <c r="Q18" i="21"/>
  <c r="R25" i="21"/>
  <c r="Q5" i="21"/>
  <c r="Q14" i="21"/>
  <c r="Q22" i="21"/>
  <c r="R16" i="21"/>
  <c r="Q29" i="21"/>
  <c r="R8" i="23"/>
  <c r="Q9" i="23"/>
  <c r="Q15" i="24"/>
  <c r="Q26" i="21"/>
  <c r="R17" i="21"/>
  <c r="R11" i="24"/>
  <c r="Q18" i="24"/>
  <c r="R5" i="24"/>
  <c r="Q25" i="24"/>
  <c r="Q22" i="23"/>
  <c r="R31" i="23"/>
  <c r="Q7" i="23"/>
  <c r="R13" i="21"/>
  <c r="Q15" i="21"/>
  <c r="Q30" i="24"/>
  <c r="R23" i="21"/>
  <c r="R23" i="24"/>
  <c r="Q14" i="23"/>
  <c r="Q19" i="21"/>
  <c r="Q28" i="23"/>
  <c r="Q19" i="23"/>
  <c r="R26" i="24"/>
  <c r="R21" i="21"/>
  <c r="Q11" i="21"/>
  <c r="Q7" i="21"/>
  <c r="R19" i="21"/>
  <c r="R31" i="24"/>
  <c r="Q30" i="21"/>
  <c r="R31" i="21"/>
  <c r="Q18" i="23"/>
  <c r="R29" i="23"/>
  <c r="R18" i="24"/>
  <c r="Q6" i="21"/>
  <c r="R29" i="21"/>
  <c r="R19" i="23"/>
  <c r="Q26" i="24"/>
  <c r="R28" i="21"/>
  <c r="R9" i="21"/>
  <c r="Q23" i="21"/>
  <c r="Q26" i="23"/>
  <c r="O32" i="23"/>
  <c r="P32" i="23"/>
  <c r="O27" i="23"/>
  <c r="P27" i="23"/>
  <c r="P20" i="23"/>
  <c r="O20" i="23"/>
  <c r="P12" i="24"/>
  <c r="C30" i="19"/>
  <c r="H30" i="19"/>
  <c r="I30" i="19" s="1"/>
  <c r="H10" i="19"/>
  <c r="I10" i="19" s="1"/>
  <c r="C10" i="19"/>
  <c r="O27" i="24"/>
  <c r="P27" i="24"/>
  <c r="P32" i="24"/>
  <c r="O32" i="24"/>
  <c r="R5" i="21"/>
  <c r="Q8" i="23"/>
  <c r="H34" i="19"/>
  <c r="I34" i="19" s="1"/>
  <c r="C34" i="19"/>
  <c r="H22" i="19"/>
  <c r="I22" i="19" s="1"/>
  <c r="C22" i="19"/>
  <c r="C18" i="19"/>
  <c r="H18" i="19"/>
  <c r="I18" i="19" s="1"/>
  <c r="H14" i="19"/>
  <c r="I14" i="19" s="1"/>
  <c r="C14" i="19"/>
  <c r="H6" i="19"/>
  <c r="I6" i="19" s="1"/>
  <c r="C6" i="19"/>
  <c r="J6" i="19" s="1"/>
  <c r="Q21" i="21"/>
  <c r="Q31" i="21"/>
  <c r="Q6" i="23"/>
  <c r="P12" i="21"/>
  <c r="R14" i="21"/>
  <c r="O12" i="24"/>
  <c r="R24" i="21"/>
  <c r="Q16" i="21"/>
  <c r="R14" i="24"/>
  <c r="R16" i="23"/>
  <c r="H36" i="19"/>
  <c r="I36" i="19" s="1"/>
  <c r="C36" i="19"/>
  <c r="C32" i="19"/>
  <c r="H32" i="19"/>
  <c r="I32" i="19" s="1"/>
  <c r="H28" i="19"/>
  <c r="I28" i="19" s="1"/>
  <c r="C28" i="19"/>
  <c r="H24" i="19"/>
  <c r="I24" i="19" s="1"/>
  <c r="C24" i="19"/>
  <c r="H20" i="19"/>
  <c r="I20" i="19" s="1"/>
  <c r="C20" i="19"/>
  <c r="H16" i="19"/>
  <c r="I16" i="19" s="1"/>
  <c r="C16" i="19"/>
  <c r="C12" i="19"/>
  <c r="H12" i="19"/>
  <c r="I12" i="19" s="1"/>
  <c r="H8" i="19"/>
  <c r="I8" i="19" s="1"/>
  <c r="C8" i="19"/>
  <c r="Q13" i="21"/>
  <c r="Q21" i="23"/>
  <c r="R15" i="21"/>
  <c r="O32" i="21"/>
  <c r="P32" i="21"/>
  <c r="Q25" i="21"/>
  <c r="R18" i="21"/>
  <c r="R15" i="24"/>
  <c r="Q22" i="24"/>
  <c r="R28" i="24"/>
  <c r="R26" i="21"/>
  <c r="R23" i="23"/>
  <c r="O16" i="24"/>
  <c r="P16" i="24"/>
  <c r="Q9" i="21"/>
  <c r="Q23" i="24"/>
  <c r="O12" i="21"/>
  <c r="R25" i="24"/>
  <c r="R19" i="24"/>
  <c r="R28" i="23"/>
  <c r="R7" i="24"/>
  <c r="Q8" i="24"/>
  <c r="C26" i="19"/>
  <c r="H26" i="19"/>
  <c r="I26" i="19" s="1"/>
  <c r="H35" i="19"/>
  <c r="I35" i="19" s="1"/>
  <c r="C35" i="19"/>
  <c r="C31" i="19"/>
  <c r="H31" i="19"/>
  <c r="I31" i="19" s="1"/>
  <c r="H27" i="19"/>
  <c r="I27" i="19" s="1"/>
  <c r="C27" i="19"/>
  <c r="C23" i="19"/>
  <c r="H23" i="19"/>
  <c r="I23" i="19" s="1"/>
  <c r="C19" i="19"/>
  <c r="H19" i="19"/>
  <c r="I19" i="19" s="1"/>
  <c r="H15" i="19"/>
  <c r="I15" i="19" s="1"/>
  <c r="C15" i="19"/>
  <c r="C11" i="19"/>
  <c r="H11" i="19"/>
  <c r="I11" i="19" s="1"/>
  <c r="H7" i="19"/>
  <c r="I7" i="19" s="1"/>
  <c r="C7" i="19"/>
  <c r="J7" i="19" s="1"/>
  <c r="R29" i="24"/>
  <c r="P20" i="21"/>
  <c r="O20" i="21"/>
  <c r="O20" i="24"/>
  <c r="P20" i="24"/>
  <c r="R13" i="23"/>
  <c r="Q21" i="24"/>
  <c r="R25" i="23"/>
  <c r="R24" i="23"/>
  <c r="C33" i="19"/>
  <c r="H33" i="19"/>
  <c r="I33" i="19" s="1"/>
  <c r="H29" i="19"/>
  <c r="I29" i="19" s="1"/>
  <c r="C29" i="19"/>
  <c r="H25" i="19"/>
  <c r="I25" i="19" s="1"/>
  <c r="C25" i="19"/>
  <c r="H21" i="19"/>
  <c r="I21" i="19" s="1"/>
  <c r="C21" i="19"/>
  <c r="H17" i="19"/>
  <c r="I17" i="19" s="1"/>
  <c r="C17" i="19"/>
  <c r="H13" i="19"/>
  <c r="I13" i="19" s="1"/>
  <c r="C13" i="19"/>
  <c r="J13" i="19" s="1"/>
  <c r="H9" i="19"/>
  <c r="I9" i="19" s="1"/>
  <c r="C9" i="19"/>
  <c r="Q28" i="21"/>
  <c r="R30" i="21"/>
  <c r="O27" i="21"/>
  <c r="P27" i="21"/>
  <c r="O12" i="23"/>
  <c r="R12" i="23" s="1"/>
  <c r="Q10" i="21"/>
  <c r="R10" i="21"/>
  <c r="Q11" i="23"/>
  <c r="R30" i="24"/>
  <c r="Q10" i="23"/>
  <c r="J12" i="17"/>
  <c r="Q8" i="21"/>
  <c r="R8" i="21"/>
  <c r="Q29" i="24"/>
  <c r="R26" i="23"/>
  <c r="Q17" i="23"/>
  <c r="R17" i="23"/>
  <c r="Q17" i="24"/>
  <c r="Q9" i="24"/>
  <c r="R22" i="21"/>
  <c r="Q24" i="21"/>
  <c r="Q19" i="24"/>
  <c r="R14" i="23"/>
  <c r="Q13" i="23"/>
  <c r="Q14" i="24"/>
  <c r="Q13" i="24"/>
  <c r="R13" i="24"/>
  <c r="R6" i="21"/>
  <c r="R9" i="23"/>
  <c r="Q6" i="24"/>
  <c r="R24" i="24"/>
  <c r="Q16" i="23"/>
  <c r="R7" i="23"/>
  <c r="Q25" i="23"/>
  <c r="R11" i="21"/>
  <c r="Q24" i="23"/>
  <c r="R15" i="23"/>
  <c r="R30" i="23"/>
  <c r="Q31" i="23"/>
  <c r="Q5" i="23"/>
  <c r="I28" i="15"/>
  <c r="J28" i="15" s="1"/>
  <c r="I24" i="15"/>
  <c r="J24" i="15" s="1"/>
  <c r="K24" i="15" s="1"/>
  <c r="I16" i="15"/>
  <c r="J16" i="15"/>
  <c r="K16" i="15" s="1"/>
  <c r="I12" i="15"/>
  <c r="J12" i="15" s="1"/>
  <c r="L12" i="15" s="1"/>
  <c r="I6" i="15"/>
  <c r="J6" i="15" s="1"/>
  <c r="L6" i="15" s="1"/>
  <c r="C33" i="15"/>
  <c r="I29" i="15"/>
  <c r="J29" i="15" s="1"/>
  <c r="K29" i="15" s="1"/>
  <c r="I25" i="15"/>
  <c r="J25" i="15" s="1"/>
  <c r="I21" i="15"/>
  <c r="J21" i="15" s="1"/>
  <c r="I17" i="15"/>
  <c r="J17" i="15" s="1"/>
  <c r="I34" i="15"/>
  <c r="J34" i="15" s="1"/>
  <c r="K34" i="15" s="1"/>
  <c r="I30" i="15"/>
  <c r="J30" i="15" s="1"/>
  <c r="I22" i="15"/>
  <c r="J22" i="15" s="1"/>
  <c r="I18" i="15"/>
  <c r="J18" i="15" s="1"/>
  <c r="I14" i="15"/>
  <c r="J14" i="15" s="1"/>
  <c r="I10" i="15"/>
  <c r="J10" i="15" s="1"/>
  <c r="L10" i="15" s="1"/>
  <c r="I32" i="15"/>
  <c r="J32" i="15" s="1"/>
  <c r="I35" i="15"/>
  <c r="J35" i="15" s="1"/>
  <c r="K35" i="15" s="1"/>
  <c r="I23" i="15"/>
  <c r="J23" i="15" s="1"/>
  <c r="I19" i="15"/>
  <c r="J19" i="15" s="1"/>
  <c r="C19" i="15"/>
  <c r="I15" i="15"/>
  <c r="J15" i="15" s="1"/>
  <c r="C15" i="15"/>
  <c r="I11" i="15"/>
  <c r="J11" i="15" s="1"/>
  <c r="L11" i="15" s="1"/>
  <c r="J24" i="17"/>
  <c r="J16" i="17"/>
  <c r="J20" i="17"/>
  <c r="J29" i="17"/>
  <c r="J17" i="17"/>
  <c r="J13" i="17"/>
  <c r="B6" i="12"/>
  <c r="C12" i="15"/>
  <c r="K12" i="15" s="1"/>
  <c r="C30" i="15"/>
  <c r="J32" i="17"/>
  <c r="J33" i="17"/>
  <c r="J25" i="17"/>
  <c r="J21" i="17"/>
  <c r="J34" i="17"/>
  <c r="J30" i="17"/>
  <c r="J26" i="17"/>
  <c r="J22" i="17"/>
  <c r="J18" i="17"/>
  <c r="J14" i="17"/>
  <c r="C16" i="15"/>
  <c r="J28" i="17"/>
  <c r="J35" i="17"/>
  <c r="J31" i="17"/>
  <c r="J27" i="17"/>
  <c r="J23" i="17"/>
  <c r="J19" i="17"/>
  <c r="J15" i="17"/>
  <c r="C10" i="15"/>
  <c r="K10" i="15" s="1"/>
  <c r="C14" i="15"/>
  <c r="C28" i="15"/>
  <c r="C32" i="15"/>
  <c r="C17" i="15"/>
  <c r="C21" i="15"/>
  <c r="C31" i="15"/>
  <c r="I31" i="15"/>
  <c r="J31" i="15" s="1"/>
  <c r="K31" i="15" s="1"/>
  <c r="C26" i="15"/>
  <c r="I26" i="15"/>
  <c r="J26" i="15" s="1"/>
  <c r="K26" i="15" s="1"/>
  <c r="I33" i="15"/>
  <c r="J33" i="15" s="1"/>
  <c r="K33" i="15" s="1"/>
  <c r="L16" i="15"/>
  <c r="C6" i="15"/>
  <c r="C7" i="15"/>
  <c r="I7" i="15"/>
  <c r="J7" i="15" s="1"/>
  <c r="C8" i="15"/>
  <c r="I8" i="15"/>
  <c r="J8" i="15" s="1"/>
  <c r="C9" i="15"/>
  <c r="I9" i="15"/>
  <c r="J9" i="15" s="1"/>
  <c r="C13" i="15"/>
  <c r="I13" i="15"/>
  <c r="J13" i="15" s="1"/>
  <c r="C20" i="15"/>
  <c r="I20" i="15"/>
  <c r="J20" i="15" s="1"/>
  <c r="K20" i="15" s="1"/>
  <c r="C27" i="15"/>
  <c r="I27" i="15"/>
  <c r="J27" i="15" s="1"/>
  <c r="K27" i="15" s="1"/>
  <c r="C34" i="15"/>
  <c r="C11" i="15"/>
  <c r="C18" i="15"/>
  <c r="C22" i="15"/>
  <c r="C23" i="15"/>
  <c r="C24" i="15"/>
  <c r="C25" i="15"/>
  <c r="C29" i="15"/>
  <c r="C36" i="15"/>
  <c r="I36" i="15"/>
  <c r="J36" i="15" s="1"/>
  <c r="K36" i="15" s="1"/>
  <c r="C35" i="15"/>
  <c r="Q32" i="23" l="1"/>
  <c r="Q20" i="24"/>
  <c r="R32" i="24"/>
  <c r="Q20" i="21"/>
  <c r="Q32" i="21"/>
  <c r="K13" i="15"/>
  <c r="J12" i="19"/>
  <c r="R27" i="23"/>
  <c r="K8" i="15"/>
  <c r="K11" i="15"/>
  <c r="J8" i="19"/>
  <c r="Q20" i="23"/>
  <c r="R12" i="24"/>
  <c r="R27" i="21"/>
  <c r="J11" i="19"/>
  <c r="R12" i="21"/>
  <c r="R16" i="24"/>
  <c r="Q32" i="24"/>
  <c r="R27" i="24"/>
  <c r="K26" i="19"/>
  <c r="J26" i="19"/>
  <c r="K33" i="19"/>
  <c r="J33" i="19"/>
  <c r="J16" i="19"/>
  <c r="K16" i="19"/>
  <c r="K19" i="15"/>
  <c r="L19" i="15"/>
  <c r="J17" i="19"/>
  <c r="L17" i="19" s="1"/>
  <c r="K17" i="19"/>
  <c r="K12" i="19"/>
  <c r="L12" i="19" s="1"/>
  <c r="J27" i="19"/>
  <c r="K27" i="19"/>
  <c r="K9" i="15"/>
  <c r="K7" i="15"/>
  <c r="Q27" i="21"/>
  <c r="K13" i="19"/>
  <c r="M13" i="19" s="1"/>
  <c r="K25" i="19"/>
  <c r="J25" i="19"/>
  <c r="K24" i="19"/>
  <c r="J24" i="19"/>
  <c r="K32" i="19"/>
  <c r="J32" i="19"/>
  <c r="K10" i="19"/>
  <c r="K6" i="15"/>
  <c r="M6" i="15" s="1"/>
  <c r="J9" i="19"/>
  <c r="R20" i="24"/>
  <c r="R20" i="21"/>
  <c r="K7" i="19"/>
  <c r="M7" i="19" s="1"/>
  <c r="K15" i="19"/>
  <c r="J15" i="19"/>
  <c r="M15" i="19" s="1"/>
  <c r="R32" i="21"/>
  <c r="J34" i="19"/>
  <c r="K34" i="19"/>
  <c r="J30" i="19"/>
  <c r="K30" i="19"/>
  <c r="Q27" i="23"/>
  <c r="J21" i="19"/>
  <c r="K21" i="19"/>
  <c r="K29" i="19"/>
  <c r="J29" i="19"/>
  <c r="K11" i="19"/>
  <c r="J35" i="19"/>
  <c r="K35" i="19"/>
  <c r="Q16" i="24"/>
  <c r="K8" i="19"/>
  <c r="M8" i="19" s="1"/>
  <c r="K20" i="19"/>
  <c r="L20" i="19" s="1"/>
  <c r="J20" i="19"/>
  <c r="K14" i="19"/>
  <c r="J14" i="19"/>
  <c r="R32" i="23"/>
  <c r="K9" i="19"/>
  <c r="L9" i="19"/>
  <c r="J19" i="19"/>
  <c r="K19" i="19"/>
  <c r="K23" i="19"/>
  <c r="J23" i="19"/>
  <c r="M23" i="19" s="1"/>
  <c r="J31" i="19"/>
  <c r="K31" i="19"/>
  <c r="K28" i="19"/>
  <c r="J28" i="19"/>
  <c r="L28" i="19"/>
  <c r="J36" i="19"/>
  <c r="M36" i="19" s="1"/>
  <c r="K36" i="19"/>
  <c r="Q12" i="21"/>
  <c r="Q12" i="23"/>
  <c r="K6" i="19"/>
  <c r="L6" i="19" s="1"/>
  <c r="J18" i="19"/>
  <c r="K18" i="19"/>
  <c r="L18" i="19" s="1"/>
  <c r="J22" i="19"/>
  <c r="K22" i="19"/>
  <c r="Q27" i="24"/>
  <c r="J10" i="19"/>
  <c r="Q12" i="24"/>
  <c r="R20" i="23"/>
  <c r="K11" i="17"/>
  <c r="K10" i="17"/>
  <c r="K9" i="17"/>
  <c r="K16" i="17"/>
  <c r="M16" i="17" s="1"/>
  <c r="K32" i="15"/>
  <c r="L32" i="15"/>
  <c r="K34" i="17"/>
  <c r="K13" i="17"/>
  <c r="K30" i="15"/>
  <c r="L30" i="15"/>
  <c r="K21" i="15"/>
  <c r="L21" i="15"/>
  <c r="N21" i="15" s="1"/>
  <c r="K22" i="15"/>
  <c r="L22" i="15"/>
  <c r="K14" i="17"/>
  <c r="M14" i="17" s="1"/>
  <c r="K15" i="15"/>
  <c r="L15" i="15"/>
  <c r="K23" i="15"/>
  <c r="L23" i="15"/>
  <c r="K14" i="15"/>
  <c r="L14" i="15"/>
  <c r="K25" i="15"/>
  <c r="L25" i="15"/>
  <c r="K17" i="15"/>
  <c r="L17" i="15"/>
  <c r="K18" i="15"/>
  <c r="L18" i="15"/>
  <c r="M18" i="15" s="1"/>
  <c r="K28" i="15"/>
  <c r="L28" i="15"/>
  <c r="K27" i="17"/>
  <c r="L27" i="17" s="1"/>
  <c r="K31" i="17"/>
  <c r="K21" i="17"/>
  <c r="K33" i="17"/>
  <c r="K29" i="17"/>
  <c r="K8" i="17"/>
  <c r="K15" i="17"/>
  <c r="K35" i="17"/>
  <c r="K30" i="17"/>
  <c r="K7" i="17"/>
  <c r="K23" i="17"/>
  <c r="K18" i="17"/>
  <c r="K5" i="17"/>
  <c r="K25" i="17"/>
  <c r="K32" i="17"/>
  <c r="K20" i="17"/>
  <c r="K19" i="17"/>
  <c r="K22" i="17"/>
  <c r="K28" i="17"/>
  <c r="K6" i="17"/>
  <c r="L6" i="17" s="1"/>
  <c r="U6" i="23" s="1"/>
  <c r="K26" i="17"/>
  <c r="L26" i="17" s="1"/>
  <c r="K17" i="17"/>
  <c r="K12" i="17"/>
  <c r="K24" i="17"/>
  <c r="M10" i="15"/>
  <c r="L33" i="15"/>
  <c r="M12" i="15"/>
  <c r="N12" i="15"/>
  <c r="L26" i="15"/>
  <c r="L31" i="15"/>
  <c r="N10" i="15"/>
  <c r="M11" i="15"/>
  <c r="M16" i="15"/>
  <c r="L24" i="15"/>
  <c r="M24" i="15" s="1"/>
  <c r="L7" i="15"/>
  <c r="L13" i="15"/>
  <c r="M13" i="15" s="1"/>
  <c r="L8" i="15"/>
  <c r="N8" i="15" s="1"/>
  <c r="L27" i="15"/>
  <c r="L9" i="15"/>
  <c r="N9" i="15" s="1"/>
  <c r="L36" i="15"/>
  <c r="L34" i="15"/>
  <c r="N34" i="15" s="1"/>
  <c r="L20" i="15"/>
  <c r="N11" i="15"/>
  <c r="L35" i="15"/>
  <c r="N35" i="15" s="1"/>
  <c r="L29" i="15"/>
  <c r="N17" i="15"/>
  <c r="N16" i="15"/>
  <c r="B20" i="12"/>
  <c r="G36" i="12"/>
  <c r="E36" i="12"/>
  <c r="G35" i="12"/>
  <c r="E35" i="12"/>
  <c r="G34" i="12"/>
  <c r="E34" i="12"/>
  <c r="G33" i="12"/>
  <c r="E33" i="12"/>
  <c r="N32" i="12"/>
  <c r="G32" i="12"/>
  <c r="E32" i="12"/>
  <c r="N31" i="12"/>
  <c r="G31" i="12"/>
  <c r="E31" i="12"/>
  <c r="N30" i="12"/>
  <c r="G30" i="12"/>
  <c r="E30" i="12"/>
  <c r="G29" i="12"/>
  <c r="E29" i="12"/>
  <c r="G28" i="12"/>
  <c r="E28" i="12"/>
  <c r="G27" i="12"/>
  <c r="E27" i="12"/>
  <c r="G26" i="12"/>
  <c r="E26" i="12"/>
  <c r="G25" i="12"/>
  <c r="E25" i="12"/>
  <c r="N24" i="12"/>
  <c r="G24" i="12"/>
  <c r="E24" i="12"/>
  <c r="N23" i="12"/>
  <c r="G23" i="12"/>
  <c r="E23" i="12"/>
  <c r="N22" i="12"/>
  <c r="G22" i="12"/>
  <c r="E22" i="12"/>
  <c r="G21" i="12"/>
  <c r="E21" i="12"/>
  <c r="G20" i="12"/>
  <c r="E20" i="12"/>
  <c r="G19" i="12"/>
  <c r="E19" i="12"/>
  <c r="G18" i="12"/>
  <c r="E18" i="12"/>
  <c r="G17" i="12"/>
  <c r="E17" i="12"/>
  <c r="N16" i="12"/>
  <c r="G16" i="12"/>
  <c r="E16" i="12"/>
  <c r="N15" i="12"/>
  <c r="G15" i="12"/>
  <c r="E15" i="12"/>
  <c r="N14" i="12"/>
  <c r="G14" i="12"/>
  <c r="E14" i="12"/>
  <c r="G13" i="12"/>
  <c r="E13" i="12"/>
  <c r="G12" i="12"/>
  <c r="E12" i="12"/>
  <c r="G11" i="12"/>
  <c r="E11" i="12"/>
  <c r="G10" i="12"/>
  <c r="E10" i="12"/>
  <c r="G9" i="12"/>
  <c r="E9" i="12"/>
  <c r="N8" i="12"/>
  <c r="G8" i="12"/>
  <c r="E8" i="12"/>
  <c r="N7" i="12"/>
  <c r="G7" i="12"/>
  <c r="E7" i="12"/>
  <c r="N6" i="12"/>
  <c r="G6" i="12"/>
  <c r="E6" i="12"/>
  <c r="B36" i="11"/>
  <c r="B35" i="11"/>
  <c r="B32" i="11"/>
  <c r="B31" i="11"/>
  <c r="B28" i="11"/>
  <c r="B27" i="11"/>
  <c r="B24" i="11"/>
  <c r="B23" i="11"/>
  <c r="B20" i="11"/>
  <c r="B19" i="11"/>
  <c r="B16" i="11"/>
  <c r="B15" i="11"/>
  <c r="B12" i="11"/>
  <c r="B11" i="11"/>
  <c r="B8" i="11"/>
  <c r="B7" i="11"/>
  <c r="B34" i="11"/>
  <c r="B33" i="11"/>
  <c r="B30" i="11"/>
  <c r="B29" i="11"/>
  <c r="B26" i="11"/>
  <c r="B25" i="11"/>
  <c r="B22" i="11"/>
  <c r="B21" i="11"/>
  <c r="B18" i="11"/>
  <c r="B17" i="11"/>
  <c r="B14" i="11"/>
  <c r="B13" i="11"/>
  <c r="B10" i="11"/>
  <c r="B9" i="11"/>
  <c r="B6" i="11"/>
  <c r="N7" i="15" l="1"/>
  <c r="L7" i="19"/>
  <c r="M24" i="19"/>
  <c r="L27" i="19"/>
  <c r="L26" i="19"/>
  <c r="M22" i="19"/>
  <c r="M10" i="19"/>
  <c r="M19" i="15"/>
  <c r="N32" i="15"/>
  <c r="M17" i="15"/>
  <c r="N15" i="15"/>
  <c r="N19" i="15"/>
  <c r="M29" i="19"/>
  <c r="M34" i="19"/>
  <c r="M32" i="19"/>
  <c r="L25" i="19"/>
  <c r="M33" i="19"/>
  <c r="M30" i="15"/>
  <c r="U27" i="24"/>
  <c r="M31" i="19"/>
  <c r="M19" i="19"/>
  <c r="M35" i="19"/>
  <c r="M30" i="19"/>
  <c r="L10" i="19"/>
  <c r="M22" i="15"/>
  <c r="M28" i="15"/>
  <c r="M14" i="15"/>
  <c r="L22" i="19"/>
  <c r="L14" i="19"/>
  <c r="L8" i="19"/>
  <c r="L11" i="19"/>
  <c r="M21" i="19"/>
  <c r="M17" i="19"/>
  <c r="M16" i="19"/>
  <c r="U6" i="24"/>
  <c r="M21" i="15"/>
  <c r="N18" i="15"/>
  <c r="N25" i="15"/>
  <c r="M23" i="15"/>
  <c r="M18" i="19"/>
  <c r="M28" i="19"/>
  <c r="L31" i="19"/>
  <c r="M11" i="19"/>
  <c r="M9" i="19"/>
  <c r="M20" i="19"/>
  <c r="U27" i="23"/>
  <c r="M6" i="19"/>
  <c r="M27" i="19"/>
  <c r="L16" i="19"/>
  <c r="L33" i="19"/>
  <c r="U26" i="21"/>
  <c r="U26" i="24"/>
  <c r="U26" i="23"/>
  <c r="U27" i="21"/>
  <c r="L36" i="19"/>
  <c r="L19" i="19"/>
  <c r="L21" i="19"/>
  <c r="L30" i="19"/>
  <c r="L32" i="19"/>
  <c r="M12" i="19"/>
  <c r="L13" i="19"/>
  <c r="M26" i="19"/>
  <c r="L23" i="19"/>
  <c r="M14" i="19"/>
  <c r="L35" i="19"/>
  <c r="L29" i="19"/>
  <c r="L34" i="19"/>
  <c r="L15" i="19"/>
  <c r="L24" i="19"/>
  <c r="M25" i="19"/>
  <c r="U6" i="21"/>
  <c r="M7" i="17"/>
  <c r="M11" i="17"/>
  <c r="L5" i="17"/>
  <c r="U5" i="23" s="1"/>
  <c r="M9" i="17"/>
  <c r="L9" i="17"/>
  <c r="M10" i="17"/>
  <c r="L10" i="17"/>
  <c r="M13" i="17"/>
  <c r="L12" i="17"/>
  <c r="U12" i="24" s="1"/>
  <c r="L13" i="17"/>
  <c r="M25" i="17"/>
  <c r="L29" i="17"/>
  <c r="L34" i="17"/>
  <c r="M5" i="17"/>
  <c r="L19" i="17"/>
  <c r="M18" i="17"/>
  <c r="M26" i="17"/>
  <c r="L35" i="17"/>
  <c r="L31" i="17"/>
  <c r="L15" i="17"/>
  <c r="M29" i="17"/>
  <c r="L16" i="17"/>
  <c r="M8" i="17"/>
  <c r="M22" i="17"/>
  <c r="M32" i="17"/>
  <c r="L23" i="17"/>
  <c r="M30" i="17"/>
  <c r="M20" i="17"/>
  <c r="L7" i="17"/>
  <c r="M35" i="17"/>
  <c r="L33" i="17"/>
  <c r="N22" i="15"/>
  <c r="N14" i="15"/>
  <c r="L22" i="17"/>
  <c r="M12" i="17"/>
  <c r="L25" i="17"/>
  <c r="M6" i="17"/>
  <c r="M15" i="17"/>
  <c r="M21" i="17"/>
  <c r="L21" i="17"/>
  <c r="L11" i="17"/>
  <c r="N23" i="15"/>
  <c r="M25" i="15"/>
  <c r="M19" i="17"/>
  <c r="L32" i="17"/>
  <c r="L18" i="17"/>
  <c r="M23" i="17"/>
  <c r="L30" i="17"/>
  <c r="L8" i="17"/>
  <c r="M33" i="17"/>
  <c r="N28" i="15"/>
  <c r="M15" i="15"/>
  <c r="L14" i="17"/>
  <c r="M34" i="17"/>
  <c r="M9" i="15"/>
  <c r="L24" i="17"/>
  <c r="M24" i="17"/>
  <c r="M17" i="17"/>
  <c r="L17" i="17"/>
  <c r="M28" i="17"/>
  <c r="L28" i="17"/>
  <c r="L20" i="17"/>
  <c r="M31" i="17"/>
  <c r="M27" i="17"/>
  <c r="N30" i="15"/>
  <c r="M32" i="15"/>
  <c r="M27" i="15"/>
  <c r="M7" i="15"/>
  <c r="M20" i="15"/>
  <c r="M31" i="15"/>
  <c r="M26" i="15"/>
  <c r="N33" i="15"/>
  <c r="N31" i="15"/>
  <c r="N26" i="15"/>
  <c r="M36" i="15"/>
  <c r="N24" i="15"/>
  <c r="M35" i="15"/>
  <c r="M29" i="15"/>
  <c r="N6" i="15"/>
  <c r="M33" i="15"/>
  <c r="N13" i="15"/>
  <c r="N20" i="15"/>
  <c r="N27" i="15"/>
  <c r="M8" i="15"/>
  <c r="N29" i="15"/>
  <c r="M34" i="15"/>
  <c r="N36" i="15"/>
  <c r="H20" i="12"/>
  <c r="C20" i="12"/>
  <c r="G36" i="11"/>
  <c r="E36" i="11"/>
  <c r="G35" i="11"/>
  <c r="E35" i="11"/>
  <c r="H35" i="11"/>
  <c r="G34" i="11"/>
  <c r="E34" i="11"/>
  <c r="H34" i="11"/>
  <c r="G33" i="11"/>
  <c r="E33" i="11"/>
  <c r="N32" i="11"/>
  <c r="G32" i="11"/>
  <c r="E32" i="11"/>
  <c r="N31" i="11"/>
  <c r="G31" i="11"/>
  <c r="E31" i="11"/>
  <c r="N30" i="11"/>
  <c r="G30" i="11"/>
  <c r="E30" i="11"/>
  <c r="G29" i="11"/>
  <c r="E29" i="11"/>
  <c r="G28" i="11"/>
  <c r="E28" i="11"/>
  <c r="C28" i="11" s="1"/>
  <c r="H28" i="11"/>
  <c r="H27" i="11"/>
  <c r="G27" i="11"/>
  <c r="E27" i="11"/>
  <c r="C27" i="11"/>
  <c r="G26" i="11"/>
  <c r="E26" i="11"/>
  <c r="G25" i="11"/>
  <c r="E25" i="11"/>
  <c r="N24" i="11"/>
  <c r="G24" i="11"/>
  <c r="E24" i="11"/>
  <c r="N23" i="11"/>
  <c r="G23" i="11"/>
  <c r="E23" i="11"/>
  <c r="N22" i="11"/>
  <c r="G22" i="11"/>
  <c r="E22" i="11"/>
  <c r="G21" i="11"/>
  <c r="E21" i="11"/>
  <c r="G20" i="11"/>
  <c r="E20" i="11"/>
  <c r="H20" i="11"/>
  <c r="G19" i="11"/>
  <c r="E19" i="11"/>
  <c r="G18" i="11"/>
  <c r="E18" i="11"/>
  <c r="G17" i="11"/>
  <c r="E17" i="11"/>
  <c r="N16" i="11"/>
  <c r="G16" i="11"/>
  <c r="E16" i="11"/>
  <c r="C16" i="11" s="1"/>
  <c r="H16" i="11"/>
  <c r="N15" i="11"/>
  <c r="G15" i="11"/>
  <c r="E15" i="11"/>
  <c r="N14" i="11"/>
  <c r="G14" i="11"/>
  <c r="E14" i="11"/>
  <c r="H14" i="11"/>
  <c r="G13" i="11"/>
  <c r="E13" i="11"/>
  <c r="H13" i="11"/>
  <c r="G12" i="11"/>
  <c r="E12" i="11"/>
  <c r="G11" i="11"/>
  <c r="E11" i="11"/>
  <c r="G10" i="11"/>
  <c r="E10" i="11"/>
  <c r="G9" i="11"/>
  <c r="E9" i="11"/>
  <c r="H9" i="11"/>
  <c r="N8" i="11"/>
  <c r="H8" i="11"/>
  <c r="G8" i="11"/>
  <c r="E8" i="11"/>
  <c r="C8" i="11"/>
  <c r="N7" i="11"/>
  <c r="G7" i="11"/>
  <c r="E7" i="11"/>
  <c r="N6" i="11"/>
  <c r="H6" i="11"/>
  <c r="G6" i="11"/>
  <c r="E6" i="11"/>
  <c r="C6" i="11"/>
  <c r="G36" i="10"/>
  <c r="E36" i="10"/>
  <c r="B36" i="10"/>
  <c r="G35" i="10"/>
  <c r="E35" i="10"/>
  <c r="B35" i="10"/>
  <c r="H35" i="10" s="1"/>
  <c r="G34" i="10"/>
  <c r="E34" i="10"/>
  <c r="B34" i="10"/>
  <c r="H34" i="10" s="1"/>
  <c r="G33" i="10"/>
  <c r="E33" i="10"/>
  <c r="B33" i="10"/>
  <c r="N32" i="10"/>
  <c r="G32" i="10"/>
  <c r="E32" i="10"/>
  <c r="B32" i="10"/>
  <c r="N31" i="10"/>
  <c r="G31" i="10"/>
  <c r="E31" i="10"/>
  <c r="B31" i="10"/>
  <c r="N30" i="10"/>
  <c r="G30" i="10"/>
  <c r="E30" i="10"/>
  <c r="B30" i="10"/>
  <c r="G29" i="10"/>
  <c r="E29" i="10"/>
  <c r="B29" i="10"/>
  <c r="G28" i="10"/>
  <c r="E28" i="10"/>
  <c r="B28" i="10"/>
  <c r="G27" i="10"/>
  <c r="E27" i="10"/>
  <c r="B27" i="10"/>
  <c r="H27" i="10" s="1"/>
  <c r="G26" i="10"/>
  <c r="E26" i="10"/>
  <c r="B26" i="10"/>
  <c r="G25" i="10"/>
  <c r="E25" i="10"/>
  <c r="B25" i="10"/>
  <c r="N24" i="10"/>
  <c r="G24" i="10"/>
  <c r="E24" i="10"/>
  <c r="B24" i="10"/>
  <c r="N23" i="10"/>
  <c r="G23" i="10"/>
  <c r="E23" i="10"/>
  <c r="B23" i="10"/>
  <c r="N22" i="10"/>
  <c r="G22" i="10"/>
  <c r="E22" i="10"/>
  <c r="B22" i="10"/>
  <c r="G21" i="10"/>
  <c r="E21" i="10"/>
  <c r="B21" i="10"/>
  <c r="G20" i="10"/>
  <c r="E20" i="10"/>
  <c r="B20" i="10"/>
  <c r="H20" i="10" s="1"/>
  <c r="G19" i="10"/>
  <c r="E19" i="10"/>
  <c r="B19" i="10"/>
  <c r="G18" i="10"/>
  <c r="E18" i="10"/>
  <c r="B18" i="10"/>
  <c r="G17" i="10"/>
  <c r="E17" i="10"/>
  <c r="B17" i="10"/>
  <c r="N16" i="10"/>
  <c r="G16" i="10"/>
  <c r="E16" i="10"/>
  <c r="C16" i="10" s="1"/>
  <c r="B16" i="10"/>
  <c r="H16" i="10" s="1"/>
  <c r="N15" i="10"/>
  <c r="G15" i="10"/>
  <c r="E15" i="10"/>
  <c r="B15" i="10"/>
  <c r="H15" i="10" s="1"/>
  <c r="N14" i="10"/>
  <c r="G14" i="10"/>
  <c r="E14" i="10"/>
  <c r="B14" i="10"/>
  <c r="H14" i="10" s="1"/>
  <c r="G13" i="10"/>
  <c r="E13" i="10"/>
  <c r="B13" i="10"/>
  <c r="H13" i="10" s="1"/>
  <c r="G12" i="10"/>
  <c r="E12" i="10"/>
  <c r="B12" i="10"/>
  <c r="G11" i="10"/>
  <c r="E11" i="10"/>
  <c r="B11" i="10"/>
  <c r="G10" i="10"/>
  <c r="E10" i="10"/>
  <c r="B10" i="10"/>
  <c r="H10" i="10" s="1"/>
  <c r="G9" i="10"/>
  <c r="E9" i="10"/>
  <c r="B9" i="10"/>
  <c r="H9" i="10" s="1"/>
  <c r="N8" i="10"/>
  <c r="G8" i="10"/>
  <c r="E8" i="10"/>
  <c r="B8" i="10"/>
  <c r="H8" i="10" s="1"/>
  <c r="N7" i="10"/>
  <c r="G7" i="10"/>
  <c r="E7" i="10"/>
  <c r="B7" i="10"/>
  <c r="H7" i="10" s="1"/>
  <c r="N6" i="10"/>
  <c r="G6" i="10"/>
  <c r="E6" i="10"/>
  <c r="B6" i="10"/>
  <c r="H6" i="10" s="1"/>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B36" i="9"/>
  <c r="B35" i="9"/>
  <c r="B34" i="9"/>
  <c r="H34" i="9" s="1"/>
  <c r="B33" i="9"/>
  <c r="B32" i="9"/>
  <c r="B31" i="9"/>
  <c r="B30" i="9"/>
  <c r="B29" i="9"/>
  <c r="H29" i="9" s="1"/>
  <c r="B28" i="9"/>
  <c r="H28" i="9" s="1"/>
  <c r="B27" i="9"/>
  <c r="B26" i="9"/>
  <c r="B25" i="9"/>
  <c r="H25" i="9" s="1"/>
  <c r="B24" i="9"/>
  <c r="H24" i="9" s="1"/>
  <c r="B23" i="9"/>
  <c r="B22" i="9"/>
  <c r="B21" i="9"/>
  <c r="H21" i="9" s="1"/>
  <c r="B20" i="9"/>
  <c r="B19" i="9"/>
  <c r="B18" i="9"/>
  <c r="B17" i="9"/>
  <c r="H17" i="9" s="1"/>
  <c r="B16" i="9"/>
  <c r="B15" i="9"/>
  <c r="B14" i="9"/>
  <c r="B13" i="9"/>
  <c r="H13" i="9" s="1"/>
  <c r="B12" i="9"/>
  <c r="B11" i="9"/>
  <c r="B10" i="9"/>
  <c r="B9" i="9"/>
  <c r="C9" i="9" s="1"/>
  <c r="B8" i="9"/>
  <c r="H8" i="9" s="1"/>
  <c r="B7" i="9"/>
  <c r="B6" i="9"/>
  <c r="C6" i="9" s="1"/>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G36" i="9"/>
  <c r="E36" i="9"/>
  <c r="G35" i="9"/>
  <c r="E35" i="9"/>
  <c r="H35" i="9"/>
  <c r="G34" i="9"/>
  <c r="E34" i="9"/>
  <c r="G33" i="9"/>
  <c r="E33" i="9"/>
  <c r="N32" i="9"/>
  <c r="G32" i="9"/>
  <c r="E32" i="9"/>
  <c r="N31" i="9"/>
  <c r="G31" i="9"/>
  <c r="E31" i="9"/>
  <c r="N30" i="9"/>
  <c r="G30" i="9"/>
  <c r="E30" i="9"/>
  <c r="G29" i="9"/>
  <c r="E29" i="9"/>
  <c r="G28" i="9"/>
  <c r="E28" i="9"/>
  <c r="C28" i="9" s="1"/>
  <c r="H27" i="9"/>
  <c r="G27" i="9"/>
  <c r="E27" i="9"/>
  <c r="C27" i="9"/>
  <c r="G26" i="9"/>
  <c r="E26" i="9"/>
  <c r="G25" i="9"/>
  <c r="E25" i="9"/>
  <c r="N24" i="9"/>
  <c r="G24" i="9"/>
  <c r="E24" i="9"/>
  <c r="N23" i="9"/>
  <c r="G23" i="9"/>
  <c r="E23" i="9"/>
  <c r="N22" i="9"/>
  <c r="G22" i="9"/>
  <c r="E22" i="9"/>
  <c r="G21" i="9"/>
  <c r="E21" i="9"/>
  <c r="H20" i="9"/>
  <c r="G20" i="9"/>
  <c r="E20" i="9"/>
  <c r="C20" i="9"/>
  <c r="G19" i="9"/>
  <c r="E19" i="9"/>
  <c r="G18" i="9"/>
  <c r="E18" i="9"/>
  <c r="G17" i="9"/>
  <c r="E17" i="9"/>
  <c r="N16" i="9"/>
  <c r="G16" i="9"/>
  <c r="E16" i="9"/>
  <c r="N15" i="9"/>
  <c r="H15" i="9"/>
  <c r="G15" i="9"/>
  <c r="E15" i="9"/>
  <c r="C15" i="9" s="1"/>
  <c r="N14" i="9"/>
  <c r="G14" i="9"/>
  <c r="E14" i="9"/>
  <c r="H14" i="9"/>
  <c r="G13" i="9"/>
  <c r="E13" i="9"/>
  <c r="G12" i="9"/>
  <c r="E12" i="9"/>
  <c r="G11" i="9"/>
  <c r="E11" i="9"/>
  <c r="G10" i="9"/>
  <c r="E10" i="9"/>
  <c r="H10" i="9"/>
  <c r="G9" i="9"/>
  <c r="E9" i="9"/>
  <c r="N8" i="9"/>
  <c r="G8" i="9"/>
  <c r="E8" i="9"/>
  <c r="N7" i="9"/>
  <c r="H7" i="9"/>
  <c r="G7" i="9"/>
  <c r="E7" i="9"/>
  <c r="C7" i="9"/>
  <c r="N6" i="9"/>
  <c r="G6" i="9"/>
  <c r="E6" i="9"/>
  <c r="U12" i="23" l="1"/>
  <c r="U32" i="21"/>
  <c r="U32" i="23"/>
  <c r="U32" i="24"/>
  <c r="U10" i="24"/>
  <c r="U10" i="23"/>
  <c r="U20" i="21"/>
  <c r="U20" i="23"/>
  <c r="U20" i="24"/>
  <c r="U18" i="21"/>
  <c r="U18" i="23"/>
  <c r="U18" i="24"/>
  <c r="U22" i="21"/>
  <c r="U22" i="23"/>
  <c r="U22" i="24"/>
  <c r="U23" i="21"/>
  <c r="U23" i="23"/>
  <c r="U23" i="24"/>
  <c r="U16" i="21"/>
  <c r="U16" i="23"/>
  <c r="U13" i="21"/>
  <c r="U13" i="24"/>
  <c r="U13" i="23"/>
  <c r="U14" i="21"/>
  <c r="U14" i="23"/>
  <c r="U14" i="24"/>
  <c r="U31" i="21"/>
  <c r="U31" i="24"/>
  <c r="U31" i="23"/>
  <c r="U11" i="24"/>
  <c r="U11" i="23"/>
  <c r="U7" i="24"/>
  <c r="U7" i="23"/>
  <c r="U9" i="23"/>
  <c r="U9" i="24"/>
  <c r="U29" i="21"/>
  <c r="U29" i="23"/>
  <c r="U29" i="24"/>
  <c r="U21" i="21"/>
  <c r="U21" i="23"/>
  <c r="U21" i="24"/>
  <c r="U25" i="21"/>
  <c r="U25" i="24"/>
  <c r="U25" i="23"/>
  <c r="U15" i="21"/>
  <c r="U15" i="23"/>
  <c r="U15" i="24"/>
  <c r="U28" i="21"/>
  <c r="U28" i="24"/>
  <c r="U28" i="23"/>
  <c r="U30" i="21"/>
  <c r="U30" i="23"/>
  <c r="U30" i="24"/>
  <c r="U17" i="21"/>
  <c r="U17" i="24"/>
  <c r="U17" i="23"/>
  <c r="U19" i="21"/>
  <c r="U19" i="23"/>
  <c r="U19" i="24"/>
  <c r="U8" i="23"/>
  <c r="U8" i="24"/>
  <c r="U16" i="24"/>
  <c r="U24" i="21"/>
  <c r="U24" i="24"/>
  <c r="U24" i="23"/>
  <c r="U8" i="21"/>
  <c r="U11" i="21"/>
  <c r="U7" i="21"/>
  <c r="U12" i="21"/>
  <c r="U9" i="21"/>
  <c r="U10" i="21"/>
  <c r="U5" i="21"/>
  <c r="C9" i="10"/>
  <c r="H15" i="11"/>
  <c r="H9" i="9"/>
  <c r="C27" i="10"/>
  <c r="C9" i="11"/>
  <c r="C13" i="11"/>
  <c r="C15" i="11"/>
  <c r="C20" i="11"/>
  <c r="H7" i="11"/>
  <c r="H10" i="11"/>
  <c r="H17" i="11"/>
  <c r="H21" i="11"/>
  <c r="C7" i="11"/>
  <c r="C10" i="11"/>
  <c r="C14" i="11"/>
  <c r="C17" i="11"/>
  <c r="C21" i="11"/>
  <c r="C34" i="11"/>
  <c r="H26" i="11"/>
  <c r="C26" i="11"/>
  <c r="H30" i="11"/>
  <c r="C30" i="11"/>
  <c r="H19" i="11"/>
  <c r="C19" i="11"/>
  <c r="C31" i="11"/>
  <c r="H31" i="11"/>
  <c r="H33" i="11"/>
  <c r="C33" i="11"/>
  <c r="C12" i="11"/>
  <c r="H12" i="11"/>
  <c r="H11" i="11"/>
  <c r="C11" i="11"/>
  <c r="C32" i="11"/>
  <c r="H32" i="11"/>
  <c r="C18" i="11"/>
  <c r="H18" i="11"/>
  <c r="C22" i="11"/>
  <c r="H22" i="11"/>
  <c r="C23" i="11"/>
  <c r="H23" i="11"/>
  <c r="C24" i="11"/>
  <c r="H24" i="11"/>
  <c r="C25" i="11"/>
  <c r="H25" i="11"/>
  <c r="C29" i="11"/>
  <c r="H29" i="11"/>
  <c r="C36" i="11"/>
  <c r="H36" i="11"/>
  <c r="C35" i="11"/>
  <c r="C21" i="9"/>
  <c r="C8" i="10"/>
  <c r="C15" i="10"/>
  <c r="C20" i="10"/>
  <c r="H28" i="10"/>
  <c r="C17" i="9"/>
  <c r="C7" i="10"/>
  <c r="C13" i="10"/>
  <c r="H17" i="10"/>
  <c r="H21" i="10"/>
  <c r="C28" i="10"/>
  <c r="C13" i="9"/>
  <c r="C34" i="9"/>
  <c r="C6" i="10"/>
  <c r="C17" i="10"/>
  <c r="C21" i="10"/>
  <c r="C34" i="10"/>
  <c r="H19" i="10"/>
  <c r="C19" i="10"/>
  <c r="H31" i="10"/>
  <c r="C31" i="10"/>
  <c r="C12" i="10"/>
  <c r="H12" i="10"/>
  <c r="H33" i="10"/>
  <c r="C33" i="10"/>
  <c r="H26" i="10"/>
  <c r="C26" i="10"/>
  <c r="C30" i="10"/>
  <c r="H30" i="10"/>
  <c r="H32" i="10"/>
  <c r="C32" i="10"/>
  <c r="C11" i="10"/>
  <c r="H11" i="10"/>
  <c r="C18" i="10"/>
  <c r="H18" i="10"/>
  <c r="C22" i="10"/>
  <c r="H22" i="10"/>
  <c r="C23" i="10"/>
  <c r="H23" i="10"/>
  <c r="C24" i="10"/>
  <c r="H24" i="10"/>
  <c r="C25" i="10"/>
  <c r="H25" i="10"/>
  <c r="C29" i="10"/>
  <c r="H29" i="10"/>
  <c r="C36" i="10"/>
  <c r="H36" i="10"/>
  <c r="C10" i="10"/>
  <c r="C14" i="10"/>
  <c r="C35" i="10"/>
  <c r="C8" i="9"/>
  <c r="H16" i="9"/>
  <c r="C16" i="9"/>
  <c r="H6" i="9"/>
  <c r="C12" i="9"/>
  <c r="H12" i="9"/>
  <c r="C19" i="9"/>
  <c r="H19" i="9"/>
  <c r="C26" i="9"/>
  <c r="H26" i="9"/>
  <c r="C30" i="9"/>
  <c r="H30" i="9"/>
  <c r="C31" i="9"/>
  <c r="H31" i="9"/>
  <c r="C32" i="9"/>
  <c r="H32" i="9"/>
  <c r="C33" i="9"/>
  <c r="H33" i="9"/>
  <c r="C11" i="9"/>
  <c r="H11" i="9"/>
  <c r="C18" i="9"/>
  <c r="H18" i="9"/>
  <c r="C22" i="9"/>
  <c r="H22" i="9"/>
  <c r="C23" i="9"/>
  <c r="H23" i="9"/>
  <c r="C24" i="9"/>
  <c r="C25" i="9"/>
  <c r="C29" i="9"/>
  <c r="C36" i="9"/>
  <c r="H36" i="9"/>
  <c r="C10" i="9"/>
  <c r="C14" i="9"/>
  <c r="C35" i="9"/>
  <c r="H35" i="8"/>
  <c r="H28" i="8"/>
  <c r="H27" i="8"/>
  <c r="H15" i="8"/>
  <c r="H21" i="8"/>
  <c r="H17" i="8"/>
  <c r="H13" i="8"/>
  <c r="H6" i="8"/>
  <c r="H20" i="8"/>
  <c r="H9" i="8"/>
  <c r="H8" i="8"/>
  <c r="H7" i="8"/>
  <c r="G36" i="8"/>
  <c r="E36" i="8"/>
  <c r="G35" i="8"/>
  <c r="E35" i="8"/>
  <c r="H34" i="8"/>
  <c r="G34" i="8"/>
  <c r="E34" i="8"/>
  <c r="C34" i="8"/>
  <c r="G33" i="8"/>
  <c r="E33" i="8"/>
  <c r="N32" i="8"/>
  <c r="G32" i="8"/>
  <c r="E32" i="8"/>
  <c r="H32" i="8"/>
  <c r="N31" i="8"/>
  <c r="G31" i="8"/>
  <c r="E31" i="8"/>
  <c r="N30" i="8"/>
  <c r="G30" i="8"/>
  <c r="E30" i="8"/>
  <c r="G29" i="8"/>
  <c r="E29" i="8"/>
  <c r="G28" i="8"/>
  <c r="E28" i="8"/>
  <c r="G27" i="8"/>
  <c r="E27" i="8"/>
  <c r="G26" i="8"/>
  <c r="E26" i="8"/>
  <c r="G25" i="8"/>
  <c r="E25" i="8"/>
  <c r="N24" i="8"/>
  <c r="G24" i="8"/>
  <c r="E24" i="8"/>
  <c r="N23" i="8"/>
  <c r="G23" i="8"/>
  <c r="E23" i="8"/>
  <c r="N22" i="8"/>
  <c r="G22" i="8"/>
  <c r="E22" i="8"/>
  <c r="G21" i="8"/>
  <c r="E21" i="8"/>
  <c r="G20" i="8"/>
  <c r="E20" i="8"/>
  <c r="G19" i="8"/>
  <c r="E19" i="8"/>
  <c r="G18" i="8"/>
  <c r="E18" i="8"/>
  <c r="G17" i="8"/>
  <c r="E17" i="8"/>
  <c r="N16" i="8"/>
  <c r="H16" i="8"/>
  <c r="G16" i="8"/>
  <c r="E16" i="8"/>
  <c r="N15" i="8"/>
  <c r="G15" i="8"/>
  <c r="E15" i="8"/>
  <c r="N14" i="8"/>
  <c r="H14" i="8"/>
  <c r="G14" i="8"/>
  <c r="E14" i="8"/>
  <c r="C14" i="8" s="1"/>
  <c r="G13" i="8"/>
  <c r="E13" i="8"/>
  <c r="G12" i="8"/>
  <c r="E12" i="8"/>
  <c r="G11" i="8"/>
  <c r="E11" i="8"/>
  <c r="H10" i="8"/>
  <c r="G10" i="8"/>
  <c r="E10" i="8"/>
  <c r="C10" i="8" s="1"/>
  <c r="G9" i="8"/>
  <c r="E9" i="8"/>
  <c r="N8" i="8"/>
  <c r="G8" i="8"/>
  <c r="E8" i="8"/>
  <c r="N7" i="8"/>
  <c r="G7" i="8"/>
  <c r="E7" i="8"/>
  <c r="N6" i="8"/>
  <c r="G6" i="8"/>
  <c r="E6" i="8"/>
  <c r="G36" i="6"/>
  <c r="G35" i="6"/>
  <c r="G34" i="6"/>
  <c r="G33" i="6"/>
  <c r="G32" i="6"/>
  <c r="G31" i="6"/>
  <c r="G30" i="6"/>
  <c r="G29" i="6"/>
  <c r="G28" i="6"/>
  <c r="G27" i="6"/>
  <c r="G26" i="6"/>
  <c r="G25" i="6"/>
  <c r="G24" i="6"/>
  <c r="G23" i="6"/>
  <c r="G22" i="6"/>
  <c r="G21" i="6"/>
  <c r="G19" i="6"/>
  <c r="G18" i="6"/>
  <c r="G17" i="6"/>
  <c r="G16" i="6"/>
  <c r="G15" i="6"/>
  <c r="G14" i="6"/>
  <c r="G13" i="6"/>
  <c r="G12" i="6"/>
  <c r="G11" i="6"/>
  <c r="G10" i="6"/>
  <c r="G9" i="6"/>
  <c r="G8" i="6"/>
  <c r="G7" i="6"/>
  <c r="G6" i="6"/>
  <c r="G20" i="6"/>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7" i="7"/>
  <c r="B36" i="12"/>
  <c r="B35" i="12"/>
  <c r="B34" i="12"/>
  <c r="B33" i="12"/>
  <c r="B32" i="12"/>
  <c r="B31" i="12"/>
  <c r="B30" i="12"/>
  <c r="B29" i="12"/>
  <c r="B28" i="12"/>
  <c r="B27" i="12"/>
  <c r="B26" i="12"/>
  <c r="B25" i="12"/>
  <c r="B24" i="12"/>
  <c r="B23" i="12"/>
  <c r="B22" i="12"/>
  <c r="B21" i="12"/>
  <c r="B19" i="12"/>
  <c r="B18" i="12"/>
  <c r="B17" i="12"/>
  <c r="B16" i="12"/>
  <c r="B15" i="12"/>
  <c r="B14" i="12"/>
  <c r="B13" i="12"/>
  <c r="B12" i="12"/>
  <c r="B11" i="12"/>
  <c r="B10" i="12"/>
  <c r="B9" i="12"/>
  <c r="B8" i="12"/>
  <c r="B7" i="12"/>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7" i="7"/>
  <c r="H18" i="12" l="1"/>
  <c r="C18" i="12"/>
  <c r="H35" i="12"/>
  <c r="C35" i="12"/>
  <c r="F27" i="12"/>
  <c r="F27" i="11"/>
  <c r="I27" i="11" s="1"/>
  <c r="F15" i="12"/>
  <c r="F15" i="11"/>
  <c r="H7" i="12"/>
  <c r="C7" i="12"/>
  <c r="C15" i="12"/>
  <c r="H15" i="12"/>
  <c r="C19" i="12"/>
  <c r="H19" i="12"/>
  <c r="C32" i="12"/>
  <c r="H32" i="12"/>
  <c r="H8" i="12"/>
  <c r="C8" i="12"/>
  <c r="C12" i="12"/>
  <c r="H12" i="12"/>
  <c r="I12" i="12" s="1"/>
  <c r="K12" i="12" s="1"/>
  <c r="H16" i="12"/>
  <c r="I16" i="12" s="1"/>
  <c r="C16" i="12"/>
  <c r="H21" i="12"/>
  <c r="I21" i="12" s="1"/>
  <c r="C21" i="12"/>
  <c r="H25" i="12"/>
  <c r="I25" i="12" s="1"/>
  <c r="C25" i="12"/>
  <c r="H29" i="12"/>
  <c r="C29" i="12"/>
  <c r="H33" i="12"/>
  <c r="C33" i="12"/>
  <c r="F6" i="12"/>
  <c r="F6" i="11"/>
  <c r="F33" i="12"/>
  <c r="F33" i="11"/>
  <c r="F29" i="12"/>
  <c r="F29" i="11"/>
  <c r="F25" i="12"/>
  <c r="F25" i="11"/>
  <c r="F21" i="12"/>
  <c r="F21" i="11"/>
  <c r="F17" i="12"/>
  <c r="F17" i="11"/>
  <c r="F13" i="12"/>
  <c r="F13" i="11"/>
  <c r="I13" i="11" s="1"/>
  <c r="K13" i="11" s="1"/>
  <c r="F9" i="12"/>
  <c r="F9" i="11"/>
  <c r="I9" i="11" s="1"/>
  <c r="K9" i="11" s="1"/>
  <c r="I33" i="11"/>
  <c r="J33" i="11" s="1"/>
  <c r="I26" i="11"/>
  <c r="J26" i="11" s="1"/>
  <c r="I17" i="11"/>
  <c r="K17" i="11" s="1"/>
  <c r="I15" i="11"/>
  <c r="J15" i="11" s="1"/>
  <c r="H14" i="12"/>
  <c r="I14" i="12" s="1"/>
  <c r="C14" i="12"/>
  <c r="H31" i="12"/>
  <c r="C31" i="12"/>
  <c r="F23" i="12"/>
  <c r="F23" i="11"/>
  <c r="C28" i="12"/>
  <c r="H28" i="12"/>
  <c r="I28" i="12" s="1"/>
  <c r="H9" i="12"/>
  <c r="I9" i="12" s="1"/>
  <c r="C9" i="12"/>
  <c r="H13" i="12"/>
  <c r="I13" i="12" s="1"/>
  <c r="C13" i="12"/>
  <c r="H17" i="12"/>
  <c r="C17" i="12"/>
  <c r="H22" i="12"/>
  <c r="I22" i="12" s="1"/>
  <c r="C22" i="12"/>
  <c r="H26" i="12"/>
  <c r="C26" i="12"/>
  <c r="C30" i="12"/>
  <c r="H30" i="12"/>
  <c r="I30" i="12" s="1"/>
  <c r="H34" i="12"/>
  <c r="I34" i="12" s="1"/>
  <c r="C34" i="12"/>
  <c r="F36" i="12"/>
  <c r="F36" i="11"/>
  <c r="I36" i="11" s="1"/>
  <c r="F32" i="12"/>
  <c r="F32" i="11"/>
  <c r="I32" i="11" s="1"/>
  <c r="F28" i="12"/>
  <c r="F28" i="11"/>
  <c r="I28" i="11" s="1"/>
  <c r="F24" i="12"/>
  <c r="F24" i="11"/>
  <c r="F20" i="12"/>
  <c r="F20" i="11"/>
  <c r="I20" i="11" s="1"/>
  <c r="F16" i="12"/>
  <c r="F16" i="11"/>
  <c r="I16" i="11" s="1"/>
  <c r="F12" i="12"/>
  <c r="F12" i="11"/>
  <c r="F8" i="12"/>
  <c r="F8" i="11"/>
  <c r="I21" i="8"/>
  <c r="I29" i="11"/>
  <c r="K29" i="11" s="1"/>
  <c r="I24" i="11"/>
  <c r="K24" i="11" s="1"/>
  <c r="I12" i="11"/>
  <c r="J10" i="11"/>
  <c r="I10" i="11"/>
  <c r="K10" i="11" s="1"/>
  <c r="C6" i="12"/>
  <c r="H6" i="12"/>
  <c r="I6" i="12" s="1"/>
  <c r="K6" i="12" s="1"/>
  <c r="H23" i="12"/>
  <c r="I23" i="12" s="1"/>
  <c r="C23" i="12"/>
  <c r="F35" i="12"/>
  <c r="F35" i="11"/>
  <c r="I35" i="11" s="1"/>
  <c r="F19" i="12"/>
  <c r="F19" i="11"/>
  <c r="I19" i="11" s="1"/>
  <c r="F7" i="12"/>
  <c r="I7" i="12" s="1"/>
  <c r="K7" i="12" s="1"/>
  <c r="F7" i="11"/>
  <c r="I7" i="11" s="1"/>
  <c r="K7" i="11" s="1"/>
  <c r="I30" i="11"/>
  <c r="K30" i="11" s="1"/>
  <c r="H10" i="12"/>
  <c r="C10" i="12"/>
  <c r="H27" i="12"/>
  <c r="I27" i="12" s="1"/>
  <c r="C27" i="12"/>
  <c r="F31" i="12"/>
  <c r="F31" i="11"/>
  <c r="F11" i="12"/>
  <c r="F11" i="11"/>
  <c r="I11" i="11" s="1"/>
  <c r="K11" i="11" s="1"/>
  <c r="H11" i="12"/>
  <c r="I11" i="12" s="1"/>
  <c r="C11" i="12"/>
  <c r="H24" i="12"/>
  <c r="I24" i="12" s="1"/>
  <c r="C24" i="12"/>
  <c r="H36" i="12"/>
  <c r="I36" i="12" s="1"/>
  <c r="C36" i="12"/>
  <c r="F34" i="12"/>
  <c r="F34" i="11"/>
  <c r="I34" i="11" s="1"/>
  <c r="F30" i="12"/>
  <c r="F30" i="11"/>
  <c r="F26" i="12"/>
  <c r="F26" i="11"/>
  <c r="F22" i="12"/>
  <c r="F22" i="11"/>
  <c r="I22" i="11" s="1"/>
  <c r="F18" i="12"/>
  <c r="F18" i="11"/>
  <c r="I18" i="11" s="1"/>
  <c r="F14" i="12"/>
  <c r="F14" i="11"/>
  <c r="I14" i="11" s="1"/>
  <c r="K14" i="11" s="1"/>
  <c r="F10" i="12"/>
  <c r="F10" i="11"/>
  <c r="I25" i="11"/>
  <c r="K25" i="11" s="1"/>
  <c r="I23" i="11"/>
  <c r="J23" i="11" s="1"/>
  <c r="I31" i="11"/>
  <c r="K31" i="11" s="1"/>
  <c r="I21" i="11"/>
  <c r="K21" i="11" s="1"/>
  <c r="K15" i="11"/>
  <c r="J17" i="11"/>
  <c r="I34" i="8"/>
  <c r="I20" i="8"/>
  <c r="K20" i="8" s="1"/>
  <c r="I35" i="8"/>
  <c r="I6" i="8"/>
  <c r="K6" i="8" s="1"/>
  <c r="I15" i="8"/>
  <c r="J11" i="11"/>
  <c r="J12" i="11"/>
  <c r="K12" i="11"/>
  <c r="I22" i="10"/>
  <c r="K22" i="10" s="1"/>
  <c r="F28" i="10"/>
  <c r="I28" i="10" s="1"/>
  <c r="F28" i="9"/>
  <c r="I28" i="9" s="1"/>
  <c r="F20" i="10"/>
  <c r="I20" i="10" s="1"/>
  <c r="F20" i="9"/>
  <c r="I20" i="9" s="1"/>
  <c r="F12" i="10"/>
  <c r="I12" i="10" s="1"/>
  <c r="K12" i="10" s="1"/>
  <c r="F12" i="9"/>
  <c r="F35" i="10"/>
  <c r="I35" i="10" s="1"/>
  <c r="F35" i="9"/>
  <c r="I35" i="9" s="1"/>
  <c r="F27" i="10"/>
  <c r="I27" i="10" s="1"/>
  <c r="F27" i="9"/>
  <c r="I27" i="9" s="1"/>
  <c r="F15" i="10"/>
  <c r="I15" i="10" s="1"/>
  <c r="F15" i="9"/>
  <c r="I15" i="9" s="1"/>
  <c r="F7" i="10"/>
  <c r="I7" i="10" s="1"/>
  <c r="F7" i="9"/>
  <c r="I7" i="8"/>
  <c r="K7" i="8" s="1"/>
  <c r="F34" i="10"/>
  <c r="I34" i="10" s="1"/>
  <c r="F34" i="9"/>
  <c r="I34" i="9" s="1"/>
  <c r="F26" i="9"/>
  <c r="I26" i="9" s="1"/>
  <c r="F26" i="10"/>
  <c r="I26" i="10" s="1"/>
  <c r="F18" i="9"/>
  <c r="I18" i="9" s="1"/>
  <c r="F18" i="10"/>
  <c r="I18" i="10" s="1"/>
  <c r="F10" i="10"/>
  <c r="I10" i="10" s="1"/>
  <c r="K10" i="10" s="1"/>
  <c r="F10" i="9"/>
  <c r="I10" i="9" s="1"/>
  <c r="K10" i="9" s="1"/>
  <c r="I13" i="8"/>
  <c r="K13" i="8" s="1"/>
  <c r="I12" i="9"/>
  <c r="K12" i="9" s="1"/>
  <c r="J8" i="9"/>
  <c r="F36" i="10"/>
  <c r="I36" i="10" s="1"/>
  <c r="F36" i="9"/>
  <c r="I36" i="9" s="1"/>
  <c r="F32" i="10"/>
  <c r="I32" i="10" s="1"/>
  <c r="F32" i="9"/>
  <c r="I32" i="9" s="1"/>
  <c r="J32" i="9" s="1"/>
  <c r="F24" i="9"/>
  <c r="I24" i="9" s="1"/>
  <c r="F24" i="10"/>
  <c r="I24" i="10" s="1"/>
  <c r="F16" i="9"/>
  <c r="I16" i="9" s="1"/>
  <c r="F16" i="10"/>
  <c r="I16" i="10" s="1"/>
  <c r="F8" i="10"/>
  <c r="I8" i="10" s="1"/>
  <c r="F8" i="9"/>
  <c r="I8" i="9" s="1"/>
  <c r="J13" i="10"/>
  <c r="F31" i="10"/>
  <c r="I31" i="10" s="1"/>
  <c r="F31" i="9"/>
  <c r="I31" i="9" s="1"/>
  <c r="F23" i="10"/>
  <c r="I23" i="10" s="1"/>
  <c r="F23" i="9"/>
  <c r="I23" i="9" s="1"/>
  <c r="F19" i="9"/>
  <c r="I19" i="9" s="1"/>
  <c r="J19" i="9" s="1"/>
  <c r="F19" i="10"/>
  <c r="I19" i="10" s="1"/>
  <c r="F11" i="10"/>
  <c r="I11" i="10" s="1"/>
  <c r="K11" i="10" s="1"/>
  <c r="F11" i="9"/>
  <c r="J11" i="9" s="1"/>
  <c r="F30" i="9"/>
  <c r="I30" i="9" s="1"/>
  <c r="J30" i="9" s="1"/>
  <c r="F30" i="10"/>
  <c r="I30" i="10" s="1"/>
  <c r="F22" i="10"/>
  <c r="F22" i="9"/>
  <c r="I22" i="9" s="1"/>
  <c r="F14" i="9"/>
  <c r="I14" i="9" s="1"/>
  <c r="F14" i="10"/>
  <c r="I14" i="10" s="1"/>
  <c r="I10" i="8"/>
  <c r="I16" i="8"/>
  <c r="J16" i="8" s="1"/>
  <c r="I8" i="8"/>
  <c r="K8" i="8" s="1"/>
  <c r="I27" i="8"/>
  <c r="J27" i="8" s="1"/>
  <c r="F6" i="9"/>
  <c r="I6" i="9" s="1"/>
  <c r="K6" i="9" s="1"/>
  <c r="F6" i="10"/>
  <c r="I6" i="10" s="1"/>
  <c r="F33" i="9"/>
  <c r="I33" i="9" s="1"/>
  <c r="F33" i="10"/>
  <c r="I33" i="10" s="1"/>
  <c r="F29" i="10"/>
  <c r="I29" i="10" s="1"/>
  <c r="F29" i="9"/>
  <c r="I29" i="9" s="1"/>
  <c r="F25" i="9"/>
  <c r="I25" i="9" s="1"/>
  <c r="F25" i="10"/>
  <c r="I25" i="10" s="1"/>
  <c r="F21" i="9"/>
  <c r="I21" i="9" s="1"/>
  <c r="F21" i="10"/>
  <c r="I21" i="10" s="1"/>
  <c r="F17" i="9"/>
  <c r="I17" i="9" s="1"/>
  <c r="F17" i="10"/>
  <c r="I17" i="10" s="1"/>
  <c r="F13" i="10"/>
  <c r="I13" i="10" s="1"/>
  <c r="F13" i="9"/>
  <c r="I13" i="9" s="1"/>
  <c r="K13" i="9" s="1"/>
  <c r="F9" i="9"/>
  <c r="F9" i="10"/>
  <c r="I14" i="8"/>
  <c r="J14" i="8" s="1"/>
  <c r="I9" i="8"/>
  <c r="K9" i="8" s="1"/>
  <c r="I17" i="8"/>
  <c r="K17" i="8" s="1"/>
  <c r="I28" i="8"/>
  <c r="J28" i="8" s="1"/>
  <c r="J10" i="10"/>
  <c r="M10" i="10" s="1"/>
  <c r="J19" i="10"/>
  <c r="K19" i="10"/>
  <c r="K29" i="10"/>
  <c r="J29" i="10"/>
  <c r="J6" i="9"/>
  <c r="J12" i="9"/>
  <c r="C16" i="8"/>
  <c r="C28" i="8"/>
  <c r="C17" i="8"/>
  <c r="C21" i="8"/>
  <c r="J10" i="8"/>
  <c r="C15" i="8"/>
  <c r="C6" i="8"/>
  <c r="J6" i="8" s="1"/>
  <c r="C8" i="8"/>
  <c r="J8" i="8" s="1"/>
  <c r="C20" i="8"/>
  <c r="C27" i="8"/>
  <c r="C7" i="8"/>
  <c r="J7" i="8" s="1"/>
  <c r="C9" i="8"/>
  <c r="J9" i="8" s="1"/>
  <c r="M9" i="8" s="1"/>
  <c r="C13" i="8"/>
  <c r="J13" i="8" s="1"/>
  <c r="H19" i="8"/>
  <c r="I19" i="8" s="1"/>
  <c r="C19" i="8"/>
  <c r="J35" i="8"/>
  <c r="K35" i="8"/>
  <c r="K14" i="8"/>
  <c r="J21" i="8"/>
  <c r="K21" i="8"/>
  <c r="J20" i="8"/>
  <c r="H26" i="8"/>
  <c r="I26" i="8" s="1"/>
  <c r="C26" i="8"/>
  <c r="H12" i="8"/>
  <c r="I12" i="8" s="1"/>
  <c r="C12" i="8"/>
  <c r="K10" i="8"/>
  <c r="J15" i="8"/>
  <c r="K15" i="8"/>
  <c r="K16" i="8"/>
  <c r="J17" i="8"/>
  <c r="K34" i="8"/>
  <c r="J34" i="8"/>
  <c r="C30" i="8"/>
  <c r="H30" i="8"/>
  <c r="I30" i="8" s="1"/>
  <c r="C31" i="8"/>
  <c r="H31" i="8"/>
  <c r="I31" i="8" s="1"/>
  <c r="C32" i="8"/>
  <c r="C33" i="8"/>
  <c r="H33" i="8"/>
  <c r="I33" i="8" s="1"/>
  <c r="C11" i="8"/>
  <c r="H11" i="8"/>
  <c r="I11" i="8" s="1"/>
  <c r="C18" i="8"/>
  <c r="H18" i="8"/>
  <c r="I18" i="8" s="1"/>
  <c r="C22" i="8"/>
  <c r="H22" i="8"/>
  <c r="I22" i="8" s="1"/>
  <c r="C23" i="8"/>
  <c r="H23" i="8"/>
  <c r="I23" i="8" s="1"/>
  <c r="C24" i="8"/>
  <c r="H24" i="8"/>
  <c r="I24" i="8" s="1"/>
  <c r="C25" i="8"/>
  <c r="H25" i="8"/>
  <c r="I25" i="8" s="1"/>
  <c r="C29" i="8"/>
  <c r="H29" i="8"/>
  <c r="I29" i="8" s="1"/>
  <c r="I32" i="8"/>
  <c r="C36" i="8"/>
  <c r="H36" i="8"/>
  <c r="I36" i="8" s="1"/>
  <c r="C35" i="8"/>
  <c r="N31" i="6"/>
  <c r="E31" i="6"/>
  <c r="N23" i="6"/>
  <c r="E23" i="6"/>
  <c r="N15" i="6"/>
  <c r="E15" i="6"/>
  <c r="N7" i="6"/>
  <c r="E7" i="6"/>
  <c r="E36" i="6"/>
  <c r="E35" i="6"/>
  <c r="E34" i="6"/>
  <c r="E33" i="6"/>
  <c r="N32" i="6"/>
  <c r="E32" i="6"/>
  <c r="N30" i="6"/>
  <c r="E30" i="6"/>
  <c r="E29" i="6"/>
  <c r="E28" i="6"/>
  <c r="E27" i="6"/>
  <c r="E26" i="6"/>
  <c r="E25" i="6"/>
  <c r="N24" i="6"/>
  <c r="E24" i="6"/>
  <c r="N22" i="6"/>
  <c r="E22" i="6"/>
  <c r="E21" i="6"/>
  <c r="E20" i="6"/>
  <c r="E19" i="6"/>
  <c r="E18" i="6"/>
  <c r="E17" i="6"/>
  <c r="N16" i="6"/>
  <c r="E16" i="6"/>
  <c r="N14" i="6"/>
  <c r="E14" i="6"/>
  <c r="E13" i="6"/>
  <c r="E12" i="6"/>
  <c r="E11" i="6"/>
  <c r="E10" i="6"/>
  <c r="E9" i="6"/>
  <c r="N8" i="6"/>
  <c r="E8" i="6"/>
  <c r="N6" i="6"/>
  <c r="E6" i="6"/>
  <c r="J29" i="11" l="1"/>
  <c r="K23" i="11"/>
  <c r="M23" i="11" s="1"/>
  <c r="K33" i="11"/>
  <c r="L33" i="11" s="1"/>
  <c r="I18" i="12"/>
  <c r="J18" i="12" s="1"/>
  <c r="J30" i="11"/>
  <c r="M30" i="11" s="1"/>
  <c r="K26" i="11"/>
  <c r="L26" i="11" s="1"/>
  <c r="M15" i="11"/>
  <c r="I29" i="12"/>
  <c r="K29" i="12" s="1"/>
  <c r="J31" i="11"/>
  <c r="L31" i="11" s="1"/>
  <c r="M10" i="11"/>
  <c r="I8" i="12"/>
  <c r="K8" i="12" s="1"/>
  <c r="I35" i="12"/>
  <c r="K35" i="12" s="1"/>
  <c r="L15" i="11"/>
  <c r="J14" i="11"/>
  <c r="M14" i="11" s="1"/>
  <c r="I10" i="12"/>
  <c r="K10" i="12" s="1"/>
  <c r="L10" i="11"/>
  <c r="K22" i="9"/>
  <c r="J22" i="9"/>
  <c r="J19" i="11"/>
  <c r="K19" i="11"/>
  <c r="K25" i="12"/>
  <c r="J25" i="12"/>
  <c r="K22" i="11"/>
  <c r="J22" i="11"/>
  <c r="J24" i="12"/>
  <c r="K24" i="12"/>
  <c r="M24" i="12" s="1"/>
  <c r="K27" i="12"/>
  <c r="J27" i="12"/>
  <c r="K36" i="11"/>
  <c r="J36" i="11"/>
  <c r="J34" i="12"/>
  <c r="K34" i="12"/>
  <c r="J28" i="12"/>
  <c r="K28" i="12"/>
  <c r="J18" i="11"/>
  <c r="K18" i="11"/>
  <c r="K32" i="11"/>
  <c r="J32" i="11"/>
  <c r="L32" i="11" s="1"/>
  <c r="K9" i="12"/>
  <c r="K18" i="12"/>
  <c r="K11" i="12"/>
  <c r="J23" i="12"/>
  <c r="K23" i="12"/>
  <c r="K22" i="12"/>
  <c r="J22" i="12"/>
  <c r="L17" i="11"/>
  <c r="M6" i="8"/>
  <c r="L29" i="10"/>
  <c r="J25" i="11"/>
  <c r="M25" i="11" s="1"/>
  <c r="J24" i="11"/>
  <c r="L24" i="11" s="1"/>
  <c r="J21" i="11"/>
  <c r="L21" i="11" s="1"/>
  <c r="J7" i="11"/>
  <c r="M7" i="11" s="1"/>
  <c r="J13" i="11"/>
  <c r="M13" i="11" s="1"/>
  <c r="K35" i="11"/>
  <c r="J35" i="11"/>
  <c r="J9" i="11"/>
  <c r="J8" i="11"/>
  <c r="I8" i="11"/>
  <c r="J13" i="12"/>
  <c r="J12" i="12"/>
  <c r="J36" i="12"/>
  <c r="K36" i="12"/>
  <c r="K20" i="11"/>
  <c r="J20" i="11"/>
  <c r="K13" i="12"/>
  <c r="J14" i="12"/>
  <c r="K14" i="12"/>
  <c r="I19" i="12"/>
  <c r="J7" i="12"/>
  <c r="M7" i="12" s="1"/>
  <c r="K34" i="11"/>
  <c r="J34" i="11"/>
  <c r="K16" i="11"/>
  <c r="J16" i="11"/>
  <c r="I20" i="12"/>
  <c r="I26" i="12"/>
  <c r="K16" i="12"/>
  <c r="J16" i="12"/>
  <c r="L16" i="12" s="1"/>
  <c r="J8" i="12"/>
  <c r="M11" i="11"/>
  <c r="M7" i="8"/>
  <c r="J11" i="12"/>
  <c r="J10" i="12"/>
  <c r="J6" i="12"/>
  <c r="L6" i="12" s="1"/>
  <c r="J28" i="11"/>
  <c r="K28" i="11"/>
  <c r="J30" i="12"/>
  <c r="K30" i="12"/>
  <c r="I17" i="12"/>
  <c r="J9" i="12"/>
  <c r="I31" i="12"/>
  <c r="J6" i="11"/>
  <c r="I6" i="11"/>
  <c r="I33" i="12"/>
  <c r="J21" i="12"/>
  <c r="K21" i="12"/>
  <c r="I32" i="12"/>
  <c r="I15" i="12"/>
  <c r="K27" i="11"/>
  <c r="J27" i="11"/>
  <c r="L7" i="11"/>
  <c r="L29" i="11"/>
  <c r="K31" i="9"/>
  <c r="M31" i="9" s="1"/>
  <c r="J31" i="9"/>
  <c r="J26" i="9"/>
  <c r="K26" i="9"/>
  <c r="K26" i="10"/>
  <c r="J26" i="10"/>
  <c r="K28" i="8"/>
  <c r="L11" i="10"/>
  <c r="K30" i="9"/>
  <c r="L30" i="9" s="1"/>
  <c r="M17" i="11"/>
  <c r="K27" i="8"/>
  <c r="L27" i="8" s="1"/>
  <c r="M8" i="8"/>
  <c r="M29" i="10"/>
  <c r="J11" i="10"/>
  <c r="J10" i="9"/>
  <c r="M12" i="11"/>
  <c r="M29" i="11"/>
  <c r="L10" i="10"/>
  <c r="L12" i="11"/>
  <c r="L30" i="11"/>
  <c r="L11" i="11"/>
  <c r="M24" i="11"/>
  <c r="J33" i="9"/>
  <c r="K33" i="9"/>
  <c r="L33" i="9" s="1"/>
  <c r="K32" i="10"/>
  <c r="J32" i="10"/>
  <c r="K36" i="9"/>
  <c r="J36" i="9"/>
  <c r="M36" i="9" s="1"/>
  <c r="J18" i="10"/>
  <c r="K18" i="10"/>
  <c r="J31" i="10"/>
  <c r="K31" i="10"/>
  <c r="L31" i="10" s="1"/>
  <c r="K36" i="10"/>
  <c r="J36" i="10"/>
  <c r="K18" i="9"/>
  <c r="J18" i="9"/>
  <c r="M18" i="9" s="1"/>
  <c r="K28" i="10"/>
  <c r="J28" i="10"/>
  <c r="K23" i="10"/>
  <c r="J23" i="10"/>
  <c r="M23" i="10" s="1"/>
  <c r="J24" i="10"/>
  <c r="L24" i="10" s="1"/>
  <c r="K24" i="10"/>
  <c r="K17" i="10"/>
  <c r="J17" i="10"/>
  <c r="K25" i="10"/>
  <c r="J25" i="10"/>
  <c r="J33" i="10"/>
  <c r="K33" i="10"/>
  <c r="L33" i="10" s="1"/>
  <c r="J30" i="10"/>
  <c r="K30" i="10"/>
  <c r="J23" i="9"/>
  <c r="K23" i="9"/>
  <c r="M23" i="9" s="1"/>
  <c r="M22" i="9"/>
  <c r="K14" i="10"/>
  <c r="J14" i="10"/>
  <c r="M14" i="10" s="1"/>
  <c r="K7" i="10"/>
  <c r="K27" i="10"/>
  <c r="J27" i="10"/>
  <c r="L12" i="9"/>
  <c r="K32" i="9"/>
  <c r="L32" i="9" s="1"/>
  <c r="K19" i="9"/>
  <c r="M19" i="9" s="1"/>
  <c r="I11" i="9"/>
  <c r="K11" i="9" s="1"/>
  <c r="I9" i="9"/>
  <c r="J9" i="9"/>
  <c r="J17" i="9"/>
  <c r="K17" i="9"/>
  <c r="J25" i="9"/>
  <c r="K25" i="9"/>
  <c r="J14" i="9"/>
  <c r="K14" i="9"/>
  <c r="J6" i="10"/>
  <c r="K8" i="9"/>
  <c r="M8" i="9" s="1"/>
  <c r="J8" i="10"/>
  <c r="J15" i="9"/>
  <c r="K15" i="9"/>
  <c r="K35" i="9"/>
  <c r="J35" i="9"/>
  <c r="K20" i="9"/>
  <c r="J20" i="9"/>
  <c r="J22" i="10"/>
  <c r="L22" i="10" s="1"/>
  <c r="M19" i="10"/>
  <c r="J21" i="10"/>
  <c r="K21" i="10"/>
  <c r="J29" i="9"/>
  <c r="K29" i="9"/>
  <c r="K6" i="10"/>
  <c r="L6" i="10"/>
  <c r="K8" i="10"/>
  <c r="K24" i="9"/>
  <c r="J24" i="9"/>
  <c r="J7" i="10"/>
  <c r="J15" i="10"/>
  <c r="K15" i="10"/>
  <c r="K35" i="10"/>
  <c r="J35" i="10"/>
  <c r="K20" i="10"/>
  <c r="J20" i="10"/>
  <c r="J9" i="10"/>
  <c r="I9" i="10"/>
  <c r="K16" i="9"/>
  <c r="J16" i="9"/>
  <c r="M16" i="9" s="1"/>
  <c r="K34" i="10"/>
  <c r="J34" i="10"/>
  <c r="L8" i="8"/>
  <c r="M13" i="8"/>
  <c r="L6" i="9"/>
  <c r="J12" i="10"/>
  <c r="M12" i="10" s="1"/>
  <c r="K13" i="10"/>
  <c r="L13" i="10" s="1"/>
  <c r="J21" i="9"/>
  <c r="K21" i="9"/>
  <c r="J16" i="10"/>
  <c r="K16" i="10"/>
  <c r="L16" i="10"/>
  <c r="J34" i="9"/>
  <c r="K34" i="9"/>
  <c r="J7" i="9"/>
  <c r="I7" i="9"/>
  <c r="K27" i="9"/>
  <c r="J27" i="9"/>
  <c r="L27" i="9" s="1"/>
  <c r="J13" i="9"/>
  <c r="M13" i="9" s="1"/>
  <c r="K28" i="9"/>
  <c r="J28" i="9"/>
  <c r="M11" i="10"/>
  <c r="M33" i="10"/>
  <c r="M22" i="10"/>
  <c r="L19" i="10"/>
  <c r="L12" i="10"/>
  <c r="L14" i="8"/>
  <c r="M11" i="9"/>
  <c r="M33" i="9"/>
  <c r="L19" i="9"/>
  <c r="M6" i="9"/>
  <c r="L34" i="8"/>
  <c r="M32" i="9"/>
  <c r="M12" i="9"/>
  <c r="L22" i="9"/>
  <c r="L18" i="9"/>
  <c r="J11" i="8"/>
  <c r="L9" i="8"/>
  <c r="M10" i="8"/>
  <c r="J12" i="8"/>
  <c r="M16" i="8"/>
  <c r="M34" i="8"/>
  <c r="L13" i="8"/>
  <c r="L15" i="8"/>
  <c r="L6" i="8"/>
  <c r="M21" i="8"/>
  <c r="M27" i="8"/>
  <c r="L7" i="8"/>
  <c r="K22" i="8"/>
  <c r="J22" i="8"/>
  <c r="K25" i="8"/>
  <c r="J25" i="8"/>
  <c r="K36" i="8"/>
  <c r="J36" i="8"/>
  <c r="J31" i="8"/>
  <c r="K31" i="8"/>
  <c r="K23" i="8"/>
  <c r="J23" i="8"/>
  <c r="J33" i="8"/>
  <c r="K33" i="8"/>
  <c r="J30" i="8"/>
  <c r="K30" i="8"/>
  <c r="J19" i="8"/>
  <c r="K19" i="8"/>
  <c r="K29" i="8"/>
  <c r="J29" i="8"/>
  <c r="M17" i="8"/>
  <c r="L16" i="8"/>
  <c r="K24" i="8"/>
  <c r="J24" i="8"/>
  <c r="K11" i="8"/>
  <c r="L11" i="8" s="1"/>
  <c r="L17" i="8"/>
  <c r="L10" i="8"/>
  <c r="J26" i="8"/>
  <c r="K26" i="8"/>
  <c r="M35" i="8"/>
  <c r="M28" i="8"/>
  <c r="K18" i="8"/>
  <c r="J18" i="8"/>
  <c r="L28" i="8"/>
  <c r="M20" i="8"/>
  <c r="L20" i="8"/>
  <c r="J32" i="8"/>
  <c r="K32" i="8"/>
  <c r="K12" i="8"/>
  <c r="L21" i="8"/>
  <c r="M15" i="8"/>
  <c r="M14" i="8"/>
  <c r="L35" i="8"/>
  <c r="C35" i="6"/>
  <c r="C31" i="6"/>
  <c r="H34" i="6"/>
  <c r="I34" i="6" s="1"/>
  <c r="J34" i="6" s="1"/>
  <c r="H30" i="6"/>
  <c r="I30" i="6" s="1"/>
  <c r="J30" i="6" s="1"/>
  <c r="H26" i="6"/>
  <c r="H36" i="6"/>
  <c r="H32" i="6"/>
  <c r="H28" i="6"/>
  <c r="I28" i="6" s="1"/>
  <c r="J28" i="6" s="1"/>
  <c r="H24" i="6"/>
  <c r="H20" i="6"/>
  <c r="H16" i="6"/>
  <c r="I16" i="6" s="1"/>
  <c r="J16" i="6" s="1"/>
  <c r="H12" i="6"/>
  <c r="I12" i="6" s="1"/>
  <c r="K12" i="6" s="1"/>
  <c r="C8" i="6"/>
  <c r="H27" i="6"/>
  <c r="I27" i="6" s="1"/>
  <c r="K27" i="6" s="1"/>
  <c r="C23" i="6"/>
  <c r="H33" i="6"/>
  <c r="I33" i="6" s="1"/>
  <c r="J33" i="6" s="1"/>
  <c r="H19" i="6"/>
  <c r="H15" i="6"/>
  <c r="C11" i="6"/>
  <c r="H7" i="6"/>
  <c r="I26" i="6"/>
  <c r="K26" i="6" s="1"/>
  <c r="H22" i="6"/>
  <c r="I22" i="6" s="1"/>
  <c r="K22" i="6" s="1"/>
  <c r="H18" i="6"/>
  <c r="H14" i="6"/>
  <c r="I14" i="6" s="1"/>
  <c r="J14" i="6" s="1"/>
  <c r="H10" i="6"/>
  <c r="C6" i="6"/>
  <c r="H29" i="6"/>
  <c r="C25" i="6"/>
  <c r="H21" i="6"/>
  <c r="I21" i="6" s="1"/>
  <c r="J21" i="6" s="1"/>
  <c r="H17" i="6"/>
  <c r="I17" i="6" s="1"/>
  <c r="K17" i="6" s="1"/>
  <c r="H9" i="6"/>
  <c r="C28" i="6"/>
  <c r="C12" i="6"/>
  <c r="C34" i="6"/>
  <c r="C24" i="6"/>
  <c r="C36" i="6"/>
  <c r="C30" i="6"/>
  <c r="C26" i="6"/>
  <c r="H8" i="6"/>
  <c r="I8" i="6" s="1"/>
  <c r="K8" i="6" s="1"/>
  <c r="M26" i="11" l="1"/>
  <c r="L23" i="11"/>
  <c r="M31" i="11"/>
  <c r="J29" i="12"/>
  <c r="M18" i="11"/>
  <c r="M33" i="11"/>
  <c r="M22" i="11"/>
  <c r="L34" i="11"/>
  <c r="L36" i="12"/>
  <c r="L22" i="12"/>
  <c r="L29" i="12"/>
  <c r="M23" i="12"/>
  <c r="M18" i="12"/>
  <c r="M19" i="11"/>
  <c r="L14" i="11"/>
  <c r="M9" i="12"/>
  <c r="L22" i="11"/>
  <c r="L25" i="11"/>
  <c r="M6" i="12"/>
  <c r="M16" i="11"/>
  <c r="J35" i="12"/>
  <c r="L35" i="12" s="1"/>
  <c r="L19" i="11"/>
  <c r="L27" i="12"/>
  <c r="M8" i="12"/>
  <c r="L34" i="12"/>
  <c r="M21" i="11"/>
  <c r="M10" i="12"/>
  <c r="L23" i="12"/>
  <c r="M34" i="12"/>
  <c r="L24" i="12"/>
  <c r="L18" i="11"/>
  <c r="L21" i="12"/>
  <c r="M11" i="12"/>
  <c r="M16" i="12"/>
  <c r="M14" i="12"/>
  <c r="L13" i="12"/>
  <c r="M22" i="12"/>
  <c r="M28" i="12"/>
  <c r="L36" i="11"/>
  <c r="M27" i="12"/>
  <c r="M34" i="11"/>
  <c r="M20" i="11"/>
  <c r="L28" i="11"/>
  <c r="M28" i="11"/>
  <c r="L35" i="10"/>
  <c r="M27" i="10"/>
  <c r="M24" i="10"/>
  <c r="M28" i="10"/>
  <c r="M36" i="10"/>
  <c r="L18" i="10"/>
  <c r="M32" i="10"/>
  <c r="M32" i="11"/>
  <c r="M26" i="10"/>
  <c r="J15" i="12"/>
  <c r="K15" i="12"/>
  <c r="K6" i="11"/>
  <c r="M6" i="11" s="1"/>
  <c r="K20" i="12"/>
  <c r="J20" i="12"/>
  <c r="K19" i="12"/>
  <c r="J19" i="12"/>
  <c r="M12" i="12"/>
  <c r="L12" i="12"/>
  <c r="L18" i="12"/>
  <c r="L7" i="12"/>
  <c r="L28" i="12"/>
  <c r="J17" i="12"/>
  <c r="K17" i="12"/>
  <c r="M9" i="11"/>
  <c r="L9" i="11"/>
  <c r="L10" i="12"/>
  <c r="L27" i="11"/>
  <c r="M27" i="11"/>
  <c r="M21" i="12"/>
  <c r="M36" i="12"/>
  <c r="M13" i="12"/>
  <c r="L11" i="12"/>
  <c r="J32" i="12"/>
  <c r="K32" i="12"/>
  <c r="M30" i="9"/>
  <c r="L23" i="9"/>
  <c r="M36" i="11"/>
  <c r="M26" i="9"/>
  <c r="J33" i="12"/>
  <c r="K33" i="12"/>
  <c r="J31" i="12"/>
  <c r="K31" i="12"/>
  <c r="L30" i="12"/>
  <c r="M30" i="12"/>
  <c r="J26" i="12"/>
  <c r="K26" i="12"/>
  <c r="L13" i="11"/>
  <c r="L14" i="12"/>
  <c r="L20" i="11"/>
  <c r="K8" i="11"/>
  <c r="M8" i="11" s="1"/>
  <c r="L35" i="11"/>
  <c r="M35" i="11"/>
  <c r="M29" i="12"/>
  <c r="L9" i="12"/>
  <c r="L16" i="11"/>
  <c r="L8" i="12"/>
  <c r="L25" i="12"/>
  <c r="M25" i="12"/>
  <c r="L26" i="9"/>
  <c r="M16" i="10"/>
  <c r="L17" i="10"/>
  <c r="L10" i="9"/>
  <c r="M10" i="9"/>
  <c r="L31" i="9"/>
  <c r="L36" i="9"/>
  <c r="L14" i="10"/>
  <c r="M34" i="10"/>
  <c r="M8" i="10"/>
  <c r="L14" i="9"/>
  <c r="L30" i="10"/>
  <c r="M25" i="10"/>
  <c r="M13" i="10"/>
  <c r="M18" i="10"/>
  <c r="L26" i="10"/>
  <c r="L34" i="9"/>
  <c r="M34" i="9"/>
  <c r="L20" i="10"/>
  <c r="M20" i="10"/>
  <c r="M35" i="9"/>
  <c r="L35" i="9"/>
  <c r="K9" i="9"/>
  <c r="L9" i="9" s="1"/>
  <c r="L24" i="8"/>
  <c r="M29" i="8"/>
  <c r="L11" i="9"/>
  <c r="L25" i="10"/>
  <c r="L23" i="10"/>
  <c r="K9" i="10"/>
  <c r="L9" i="10" s="1"/>
  <c r="M35" i="10"/>
  <c r="M15" i="10"/>
  <c r="L15" i="10"/>
  <c r="L8" i="10"/>
  <c r="L13" i="9"/>
  <c r="L20" i="9"/>
  <c r="M20" i="9"/>
  <c r="L8" i="9"/>
  <c r="M17" i="9"/>
  <c r="L17" i="9"/>
  <c r="L27" i="10"/>
  <c r="M24" i="9"/>
  <c r="L24" i="9"/>
  <c r="L25" i="9"/>
  <c r="M25" i="9"/>
  <c r="L16" i="9"/>
  <c r="L31" i="8"/>
  <c r="L32" i="10"/>
  <c r="L36" i="10"/>
  <c r="K7" i="9"/>
  <c r="M7" i="9" s="1"/>
  <c r="L21" i="9"/>
  <c r="M21" i="9"/>
  <c r="M21" i="10"/>
  <c r="L21" i="10"/>
  <c r="M14" i="9"/>
  <c r="M30" i="10"/>
  <c r="M28" i="9"/>
  <c r="L28" i="9"/>
  <c r="M27" i="9"/>
  <c r="L34" i="10"/>
  <c r="M9" i="10"/>
  <c r="M7" i="10"/>
  <c r="L29" i="9"/>
  <c r="M29" i="9"/>
  <c r="M15" i="9"/>
  <c r="L15" i="9"/>
  <c r="M6" i="10"/>
  <c r="L7" i="10"/>
  <c r="M17" i="10"/>
  <c r="L28" i="10"/>
  <c r="M31" i="10"/>
  <c r="L36" i="8"/>
  <c r="L12" i="8"/>
  <c r="M11" i="8"/>
  <c r="M19" i="8"/>
  <c r="L32" i="8"/>
  <c r="L26" i="8"/>
  <c r="L30" i="8"/>
  <c r="M23" i="8"/>
  <c r="M33" i="8"/>
  <c r="L19" i="8"/>
  <c r="M30" i="8"/>
  <c r="M22" i="8"/>
  <c r="M32" i="8"/>
  <c r="M18" i="8"/>
  <c r="M26" i="8"/>
  <c r="L29" i="8"/>
  <c r="M12" i="8"/>
  <c r="L33" i="8"/>
  <c r="M31" i="8"/>
  <c r="M25" i="8"/>
  <c r="L22" i="8"/>
  <c r="L18" i="8"/>
  <c r="M24" i="8"/>
  <c r="L23" i="8"/>
  <c r="M36" i="8"/>
  <c r="L25" i="8"/>
  <c r="H31" i="6"/>
  <c r="I31" i="6" s="1"/>
  <c r="K31" i="6" s="1"/>
  <c r="H35" i="6"/>
  <c r="I35" i="6" s="1"/>
  <c r="K35" i="6" s="1"/>
  <c r="K30" i="6"/>
  <c r="M30" i="6" s="1"/>
  <c r="J12" i="6"/>
  <c r="M12" i="6" s="1"/>
  <c r="C16" i="6"/>
  <c r="J22" i="6"/>
  <c r="M22" i="6" s="1"/>
  <c r="C27" i="6"/>
  <c r="I7" i="6"/>
  <c r="K7" i="6" s="1"/>
  <c r="I20" i="6"/>
  <c r="K20" i="6" s="1"/>
  <c r="I36" i="6"/>
  <c r="J36" i="6" s="1"/>
  <c r="I32" i="6"/>
  <c r="J32" i="6" s="1"/>
  <c r="I15" i="6"/>
  <c r="K15" i="6" s="1"/>
  <c r="C15" i="6"/>
  <c r="C20" i="6"/>
  <c r="C32" i="6"/>
  <c r="C22" i="6"/>
  <c r="I24" i="6"/>
  <c r="K24" i="6" s="1"/>
  <c r="I19" i="6"/>
  <c r="J19" i="6" s="1"/>
  <c r="C10" i="6"/>
  <c r="J10" i="6" s="1"/>
  <c r="J26" i="6"/>
  <c r="L26" i="6" s="1"/>
  <c r="C14" i="6"/>
  <c r="I10" i="6"/>
  <c r="K10" i="6" s="1"/>
  <c r="C17" i="6"/>
  <c r="C19" i="6"/>
  <c r="H11" i="6"/>
  <c r="I11" i="6" s="1"/>
  <c r="K11" i="6" s="1"/>
  <c r="K19" i="6"/>
  <c r="L19" i="6" s="1"/>
  <c r="H23" i="6"/>
  <c r="I23" i="6" s="1"/>
  <c r="J23" i="6" s="1"/>
  <c r="H6" i="6"/>
  <c r="J6" i="6" s="1"/>
  <c r="H25" i="6"/>
  <c r="I25" i="6" s="1"/>
  <c r="J25" i="6" s="1"/>
  <c r="K14" i="6"/>
  <c r="L14" i="6" s="1"/>
  <c r="C33" i="6"/>
  <c r="C7" i="6"/>
  <c r="J7" i="6" s="1"/>
  <c r="I29" i="6"/>
  <c r="K29" i="6" s="1"/>
  <c r="I18" i="6"/>
  <c r="J18" i="6" s="1"/>
  <c r="C29" i="6"/>
  <c r="C18" i="6"/>
  <c r="J17" i="6"/>
  <c r="M17" i="6" s="1"/>
  <c r="K21" i="6"/>
  <c r="M21" i="6" s="1"/>
  <c r="I9" i="6"/>
  <c r="K9" i="6" s="1"/>
  <c r="C9" i="6"/>
  <c r="J9" i="6" s="1"/>
  <c r="C13" i="6"/>
  <c r="C21" i="6"/>
  <c r="H13" i="6"/>
  <c r="I13" i="6" s="1"/>
  <c r="K13" i="6" s="1"/>
  <c r="J27" i="6"/>
  <c r="M27" i="6" s="1"/>
  <c r="K33" i="6"/>
  <c r="M33" i="6" s="1"/>
  <c r="J8" i="6"/>
  <c r="M8" i="6" s="1"/>
  <c r="K28" i="6"/>
  <c r="M28" i="6" s="1"/>
  <c r="K16" i="6"/>
  <c r="M16" i="6" s="1"/>
  <c r="K34" i="6"/>
  <c r="L34" i="6" s="1"/>
  <c r="M35" i="12" l="1"/>
  <c r="L20" i="12"/>
  <c r="M17" i="12"/>
  <c r="M26" i="12"/>
  <c r="L31" i="12"/>
  <c r="M19" i="12"/>
  <c r="L26" i="12"/>
  <c r="M33" i="12"/>
  <c r="L32" i="12"/>
  <c r="L17" i="12"/>
  <c r="L15" i="12"/>
  <c r="L6" i="11"/>
  <c r="L19" i="12"/>
  <c r="M15" i="12"/>
  <c r="M32" i="12"/>
  <c r="M31" i="12"/>
  <c r="L8" i="11"/>
  <c r="L33" i="12"/>
  <c r="M20" i="12"/>
  <c r="M9" i="9"/>
  <c r="L7" i="9"/>
  <c r="J31" i="6"/>
  <c r="L31" i="6" s="1"/>
  <c r="J35" i="6"/>
  <c r="L35" i="6" s="1"/>
  <c r="M19" i="6"/>
  <c r="K36" i="6"/>
  <c r="M36" i="6" s="1"/>
  <c r="M10" i="6"/>
  <c r="L30" i="6"/>
  <c r="K32" i="6"/>
  <c r="M32" i="6" s="1"/>
  <c r="L12" i="6"/>
  <c r="K23" i="6"/>
  <c r="M23" i="6" s="1"/>
  <c r="M14" i="6"/>
  <c r="L22" i="6"/>
  <c r="M7" i="6"/>
  <c r="J20" i="6"/>
  <c r="L20" i="6" s="1"/>
  <c r="M26" i="6"/>
  <c r="J15" i="6"/>
  <c r="J24" i="6"/>
  <c r="L24" i="6" s="1"/>
  <c r="L10" i="6"/>
  <c r="I6" i="6"/>
  <c r="K6" i="6" s="1"/>
  <c r="M6" i="6" s="1"/>
  <c r="K25" i="6"/>
  <c r="M25" i="6" s="1"/>
  <c r="L17" i="6"/>
  <c r="J11" i="6"/>
  <c r="M11" i="6" s="1"/>
  <c r="L7" i="6"/>
  <c r="L21" i="6"/>
  <c r="J29" i="6"/>
  <c r="M29" i="6" s="1"/>
  <c r="K18" i="6"/>
  <c r="M18" i="6" s="1"/>
  <c r="L27" i="6"/>
  <c r="M9" i="6"/>
  <c r="J13" i="6"/>
  <c r="M13" i="6" s="1"/>
  <c r="L16" i="6"/>
  <c r="L33" i="6"/>
  <c r="L28" i="6"/>
  <c r="L8" i="6"/>
  <c r="M34" i="6"/>
  <c r="L9" i="6"/>
  <c r="M31" i="6" l="1"/>
  <c r="M35" i="6"/>
  <c r="L36" i="6"/>
  <c r="L25" i="6"/>
  <c r="L32" i="6"/>
  <c r="L23" i="6"/>
  <c r="M24" i="6"/>
  <c r="M20" i="6"/>
  <c r="L15" i="6"/>
  <c r="M15" i="6"/>
  <c r="L6" i="6"/>
  <c r="L11" i="6"/>
  <c r="L29" i="6"/>
  <c r="L18" i="6"/>
  <c r="L13" i="6"/>
  <c r="H47" i="24"/>
  <c r="E47" i="24"/>
  <c r="G47" i="24"/>
  <c r="C47" i="24"/>
  <c r="F47" i="24"/>
  <c r="E48" i="24"/>
  <c r="G48" i="24" s="1"/>
  <c r="F48" i="24"/>
  <c r="C48" i="24"/>
  <c r="H48" i="24" l="1"/>
  <c r="E49" i="24"/>
  <c r="H49" i="24" s="1"/>
  <c r="F49" i="24"/>
  <c r="C49" i="24"/>
  <c r="G49" i="24" l="1"/>
</calcChain>
</file>

<file path=xl/sharedStrings.xml><?xml version="1.0" encoding="utf-8"?>
<sst xmlns="http://schemas.openxmlformats.org/spreadsheetml/2006/main" count="1393" uniqueCount="226">
  <si>
    <t>EP7</t>
  </si>
  <si>
    <t>EP6</t>
  </si>
  <si>
    <t>EP5</t>
  </si>
  <si>
    <t>EP4</t>
  </si>
  <si>
    <t>EP3</t>
  </si>
  <si>
    <t>EP2</t>
  </si>
  <si>
    <t>EP1</t>
  </si>
  <si>
    <t>D7</t>
  </si>
  <si>
    <t>D6</t>
  </si>
  <si>
    <t>D5</t>
  </si>
  <si>
    <t>D4</t>
  </si>
  <si>
    <t>D3</t>
  </si>
  <si>
    <t>D2</t>
  </si>
  <si>
    <t>D1</t>
  </si>
  <si>
    <t>C7</t>
  </si>
  <si>
    <t>C6</t>
  </si>
  <si>
    <t>C5</t>
  </si>
  <si>
    <t>C4</t>
  </si>
  <si>
    <t>C3</t>
  </si>
  <si>
    <t>C2</t>
  </si>
  <si>
    <t>C1</t>
  </si>
  <si>
    <t>B6</t>
  </si>
  <si>
    <t>B5</t>
  </si>
  <si>
    <t>B4</t>
  </si>
  <si>
    <t>B3</t>
  </si>
  <si>
    <t>B2</t>
  </si>
  <si>
    <t>B1</t>
  </si>
  <si>
    <t>Pos. Econ.</t>
  </si>
  <si>
    <t>Posizione economica</t>
  </si>
  <si>
    <t>Valori in Euro per 12 mensilit à cui aggiungere la 13^ mensilità</t>
  </si>
  <si>
    <t>CEL</t>
  </si>
  <si>
    <t>B7</t>
  </si>
  <si>
    <t>Totale assegni fissi</t>
  </si>
  <si>
    <t>Stipendi senza IIS</t>
  </si>
  <si>
    <t>13.ma stipendiale</t>
  </si>
  <si>
    <t>IIS * 12 mens.</t>
  </si>
  <si>
    <t>Retribuzione di posizione base 
*13 mens</t>
  </si>
  <si>
    <t xml:space="preserve">Oneri </t>
  </si>
  <si>
    <t>IRAP</t>
  </si>
  <si>
    <t>Costo Totale
Lordo Amm.ne</t>
  </si>
  <si>
    <t>Totale Oneri</t>
  </si>
  <si>
    <t>Elemento Perequativo</t>
  </si>
  <si>
    <t>Indennità di Ateneo * 12 mes</t>
  </si>
  <si>
    <t>EP8</t>
  </si>
  <si>
    <t>D8</t>
  </si>
  <si>
    <t>C8</t>
  </si>
  <si>
    <t>Retribuzione tabellare annua (tab. C2)
Lordo dip.</t>
  </si>
  <si>
    <t>Tabella B2 - UNIVERSITA'</t>
  </si>
  <si>
    <t>D</t>
  </si>
  <si>
    <t>B</t>
  </si>
  <si>
    <r>
      <rPr>
        <b/>
        <sz val="10"/>
        <color indexed="8"/>
        <rFont val="Arial"/>
        <family val="2"/>
      </rPr>
      <t>EP8</t>
    </r>
  </si>
  <si>
    <r>
      <rPr>
        <b/>
        <sz val="10"/>
        <color indexed="8"/>
        <rFont val="Arial"/>
        <family val="2"/>
      </rPr>
      <t>EP7</t>
    </r>
  </si>
  <si>
    <r>
      <rPr>
        <b/>
        <sz val="10"/>
        <color indexed="8"/>
        <rFont val="Arial"/>
        <family val="2"/>
      </rPr>
      <t>EP6</t>
    </r>
  </si>
  <si>
    <r>
      <rPr>
        <b/>
        <sz val="10"/>
        <color indexed="8"/>
        <rFont val="Arial"/>
        <family val="2"/>
      </rPr>
      <t>EP5</t>
    </r>
  </si>
  <si>
    <r>
      <rPr>
        <b/>
        <sz val="10"/>
        <color indexed="8"/>
        <rFont val="Arial"/>
        <family val="2"/>
      </rPr>
      <t>EP4</t>
    </r>
  </si>
  <si>
    <r>
      <rPr>
        <b/>
        <sz val="10"/>
        <color indexed="8"/>
        <rFont val="Arial"/>
        <family val="2"/>
      </rPr>
      <t>EP3</t>
    </r>
  </si>
  <si>
    <r>
      <rPr>
        <b/>
        <sz val="10"/>
        <color indexed="8"/>
        <rFont val="Arial"/>
        <family val="2"/>
      </rPr>
      <t>EP2</t>
    </r>
  </si>
  <si>
    <r>
      <rPr>
        <b/>
        <sz val="10"/>
        <color indexed="8"/>
        <rFont val="Arial"/>
        <family val="2"/>
      </rPr>
      <t>EP1</t>
    </r>
  </si>
  <si>
    <r>
      <rPr>
        <b/>
        <sz val="10"/>
        <color indexed="8"/>
        <rFont val="Arial"/>
        <family val="2"/>
      </rPr>
      <t>D8</t>
    </r>
  </si>
  <si>
    <r>
      <rPr>
        <b/>
        <sz val="10"/>
        <color indexed="8"/>
        <rFont val="Arial"/>
        <family val="2"/>
      </rPr>
      <t>D7</t>
    </r>
  </si>
  <si>
    <r>
      <rPr>
        <b/>
        <sz val="10"/>
        <color indexed="8"/>
        <rFont val="Arial"/>
        <family val="2"/>
      </rPr>
      <t>D6</t>
    </r>
  </si>
  <si>
    <r>
      <rPr>
        <b/>
        <sz val="10"/>
        <color indexed="8"/>
        <rFont val="Arial"/>
        <family val="2"/>
      </rPr>
      <t>D5</t>
    </r>
  </si>
  <si>
    <r>
      <rPr>
        <b/>
        <sz val="10"/>
        <color indexed="8"/>
        <rFont val="Arial"/>
        <family val="2"/>
      </rPr>
      <t>D4</t>
    </r>
  </si>
  <si>
    <r>
      <rPr>
        <b/>
        <sz val="10"/>
        <color indexed="8"/>
        <rFont val="Arial"/>
        <family val="2"/>
      </rPr>
      <t>D3</t>
    </r>
  </si>
  <si>
    <r>
      <rPr>
        <b/>
        <sz val="10"/>
        <color indexed="8"/>
        <rFont val="Arial"/>
        <family val="2"/>
      </rPr>
      <t>D2</t>
    </r>
  </si>
  <si>
    <r>
      <rPr>
        <b/>
        <sz val="10"/>
        <color indexed="8"/>
        <rFont val="Arial"/>
        <family val="2"/>
      </rPr>
      <t>D1</t>
    </r>
  </si>
  <si>
    <r>
      <rPr>
        <b/>
        <sz val="10"/>
        <color indexed="8"/>
        <rFont val="Arial"/>
        <family val="2"/>
      </rPr>
      <t>C8</t>
    </r>
  </si>
  <si>
    <r>
      <rPr>
        <b/>
        <sz val="10"/>
        <color indexed="8"/>
        <rFont val="Arial"/>
        <family val="2"/>
      </rPr>
      <t>C7</t>
    </r>
  </si>
  <si>
    <r>
      <rPr>
        <b/>
        <sz val="10"/>
        <color indexed="8"/>
        <rFont val="Arial"/>
        <family val="2"/>
      </rPr>
      <t>C6</t>
    </r>
  </si>
  <si>
    <r>
      <rPr>
        <b/>
        <sz val="10"/>
        <color indexed="8"/>
        <rFont val="Arial"/>
        <family val="2"/>
      </rPr>
      <t>C5</t>
    </r>
  </si>
  <si>
    <r>
      <rPr>
        <b/>
        <sz val="10"/>
        <color indexed="8"/>
        <rFont val="Arial"/>
        <family val="2"/>
      </rPr>
      <t>C4</t>
    </r>
  </si>
  <si>
    <r>
      <rPr>
        <b/>
        <sz val="10"/>
        <color indexed="8"/>
        <rFont val="Arial"/>
        <family val="2"/>
      </rPr>
      <t>C3</t>
    </r>
  </si>
  <si>
    <r>
      <rPr>
        <b/>
        <sz val="10"/>
        <color indexed="8"/>
        <rFont val="Arial"/>
        <family val="2"/>
      </rPr>
      <t>C2</t>
    </r>
  </si>
  <si>
    <r>
      <rPr>
        <b/>
        <sz val="10"/>
        <color indexed="8"/>
        <rFont val="Arial"/>
        <family val="2"/>
      </rPr>
      <t>C1</t>
    </r>
  </si>
  <si>
    <r>
      <rPr>
        <b/>
        <sz val="10"/>
        <color indexed="8"/>
        <rFont val="Arial"/>
        <family val="2"/>
      </rPr>
      <t>Conglobamento dell'IVC decorrenza 2010 nello stipendio tabellare</t>
    </r>
  </si>
  <si>
    <t>Dal 1.1.2019</t>
  </si>
  <si>
    <t>Dal 1.1.2020</t>
  </si>
  <si>
    <t>Dal 1.1.2021</t>
  </si>
  <si>
    <t xml:space="preserve">Elemento perequativo dal 1.1.2019 (1) </t>
  </si>
  <si>
    <t>EP</t>
  </si>
  <si>
    <t>Tabella C2 - UNIVERSITA'</t>
  </si>
  <si>
    <t xml:space="preserve">(1) I valori dell'elemento perequativo conglobati nello stipendio tabellare sono stati calcolati al netto dei maggiori oneri per gli enti derivanti dalla loro inclusione nello stipendio tabellare. A seguito del conglobamento, l'elemento perequativo cessa di essere corrisposto. </t>
  </si>
  <si>
    <t>(2) Valori decorrenti dal primo giorno del secondo mese successivo a quello di sottoscrizione del CCNL.</t>
  </si>
  <si>
    <t>Tabella D2 - UNIVERSITA'</t>
  </si>
  <si>
    <t>Posizioni economiche</t>
  </si>
  <si>
    <t>C</t>
  </si>
  <si>
    <t>Indennità di Ateneo</t>
  </si>
  <si>
    <t>MEF</t>
  </si>
  <si>
    <t>CCNL 05/12/2022</t>
  </si>
  <si>
    <t>COSTO DEL PERSONALE CON I.V.C dal 01/01/2019</t>
  </si>
  <si>
    <t>Cat</t>
  </si>
  <si>
    <t>Vecchia Indennità di Ateneo</t>
  </si>
  <si>
    <t>Nuova Ind. di Ateneo</t>
  </si>
  <si>
    <r>
      <t>Elemento perequativo</t>
    </r>
    <r>
      <rPr>
        <i/>
        <u/>
        <sz val="10"/>
        <color rgb="FF000000"/>
        <rFont val="Times New Roman"/>
        <family val="1"/>
      </rPr>
      <t xml:space="preserve"> Non Conglobato</t>
    </r>
  </si>
  <si>
    <t>COSTO DEL PERSONALE CON I.V.C dal 01/01/2020</t>
  </si>
  <si>
    <t>COSTO DEL PERSONALE CON I.V.C dal 01/01/2021</t>
  </si>
  <si>
    <t>COSTO DEL PERSONALE CON I.V.C dal 01/01/2022  al 31/03/2022</t>
  </si>
  <si>
    <t>IVC da aprile a giugno 2022</t>
  </si>
  <si>
    <t>COSTO DEL PERSONALE CON I.V.C dal 01/04/2022  al 30/06/2022</t>
  </si>
  <si>
    <t>Retribuzione tabellare con EP conglobato (2)</t>
  </si>
  <si>
    <t>IVC da luglio 2022 al 31 gennaio 2023</t>
  </si>
  <si>
    <t>IVC da 1° febbraio 2023</t>
  </si>
  <si>
    <t>Importi per 12 mensilità</t>
  </si>
  <si>
    <t>Emolumento accessorio una tantum 2023</t>
  </si>
  <si>
    <t>Emolumento accessorio una tantim 2023</t>
  </si>
  <si>
    <t>La Legge 29 dicembre 2022, n. 197 (Legge di Bilancio 2023) all’articolo 1, comma 330, prevede che “per l'anno 2023, gli oneri posti a carico del bilancio statale per la contrattazione collettiva nazionale in applicazione dell'articolo 48, comma 1, del decreto legislativo 30 marzo 2001, n.165, e per i miglioramenti economici del personale statale in regime di diritto pubblico di cui all'articolo 1, comma 609, della legge 30 dicembre 2021, n. 234, sono incrementati di 1.000 milioni di euro da destinare all'erogazione, nel solo anno 2023, di un emolumento accessorio una tantum, da corrispondere per tredici mensilità, da determinarsi nella misura dell'1,5 per cento dello stipendio con effetti ai soli fini del trattamento di quiescenza”.</t>
  </si>
  <si>
    <t>UNIVERSITA'</t>
  </si>
  <si>
    <t>Qualifica</t>
  </si>
  <si>
    <t>Cod</t>
  </si>
  <si>
    <t>UNA TANTUM MENSILE dal 1° – al 31 gennaio 2023</t>
  </si>
  <si>
    <t>UNA TANTUM MENSILE dal 1° febbraio 2023 (*)</t>
  </si>
  <si>
    <t>Dirigente II Fascia</t>
  </si>
  <si>
    <t>DIR</t>
  </si>
  <si>
    <t>Dirigente II Fascia a tempo determinato</t>
  </si>
  <si>
    <t>Professore Incaricato Esterno</t>
  </si>
  <si>
    <t>PIE</t>
  </si>
  <si>
    <t>Professore Incaricato Interno</t>
  </si>
  <si>
    <t>PII</t>
  </si>
  <si>
    <t xml:space="preserve">Collaboratore ed esperto linguistico (CEL </t>
  </si>
  <si>
    <t>(CEL)</t>
  </si>
  <si>
    <t>Posizione economica EP8</t>
  </si>
  <si>
    <t>Posizione economica EP7</t>
  </si>
  <si>
    <t>Posizione economica EP6</t>
  </si>
  <si>
    <t>Posizione economica EP5</t>
  </si>
  <si>
    <t>Posizione economica EP4</t>
  </si>
  <si>
    <t>Posizione economica EP3</t>
  </si>
  <si>
    <t>Posizione economica EP2</t>
  </si>
  <si>
    <t>Posizione economica EP1</t>
  </si>
  <si>
    <t>Posizione economica D8</t>
  </si>
  <si>
    <t>Posizione economica D7</t>
  </si>
  <si>
    <t>Posizione economica D6</t>
  </si>
  <si>
    <t>Posizione economica D5</t>
  </si>
  <si>
    <t>Posizione economica D4</t>
  </si>
  <si>
    <t>Posizione economica D3</t>
  </si>
  <si>
    <t>Posizione economica D2</t>
  </si>
  <si>
    <t>Posizione economica D1</t>
  </si>
  <si>
    <t>Posizione economica C8</t>
  </si>
  <si>
    <t>Posizione economica C7</t>
  </si>
  <si>
    <t>Posizione economica C6</t>
  </si>
  <si>
    <t>Posizione economica C5</t>
  </si>
  <si>
    <t>Posizione economica C4</t>
  </si>
  <si>
    <t>Posizione economica C3</t>
  </si>
  <si>
    <t>Posizione economica C2</t>
  </si>
  <si>
    <t>Posizione economica C1</t>
  </si>
  <si>
    <t>Posizione economica B7</t>
  </si>
  <si>
    <t>Posizione economica B6</t>
  </si>
  <si>
    <t>Posizione economica B5</t>
  </si>
  <si>
    <t>Posizione economica B4</t>
  </si>
  <si>
    <t>Posizione economica B3</t>
  </si>
  <si>
    <t>Posizione economica B2</t>
  </si>
  <si>
    <t>Posizione economica B1</t>
  </si>
  <si>
    <t>(*) gli importi sono rideterminati sulla base degli stipendi tabellari comprensivi dell' elemento perequativo conglobato dal primo giorno del secondo mese successivo alla data di sottoscrizione del CCNL (art. 6, c. 4, CCNL 2019-2021</t>
  </si>
  <si>
    <t>COSTO DEL PERSONALE CON I.V.C dal 01/07/2022 al 31/12/2022</t>
  </si>
  <si>
    <t>COSTO DEL PERSONALE CON I.V.C gennaio 2023</t>
  </si>
  <si>
    <t>IVC 2024 incremento del 6,7</t>
  </si>
  <si>
    <t>Importi mensili</t>
  </si>
  <si>
    <t>IVC da 1° gennaio 2024</t>
  </si>
  <si>
    <t>Nuova Ind. di Ateneo CCNL Ec 2022</t>
  </si>
  <si>
    <t>Nuova Ind. di Ateneo CCNL Giiu 2024</t>
  </si>
  <si>
    <t>COSTO DEL PERSONALE CON I.V.C dal 01/02/2023 al 31/12/2023</t>
  </si>
  <si>
    <t>COSTO DEL PERSONALE CON I.V.C dal 01/01/2024 al 30/04/2024</t>
  </si>
  <si>
    <t>Operatori</t>
  </si>
  <si>
    <t>Collaboratori</t>
  </si>
  <si>
    <t>Funzionari</t>
  </si>
  <si>
    <t>Elevate Professionalità</t>
  </si>
  <si>
    <t>Area</t>
  </si>
  <si>
    <t>Retribuzione tabellare annua
Lordo dip.</t>
  </si>
  <si>
    <t>Valori annui x 12 mesi</t>
  </si>
  <si>
    <t>Ex EP8</t>
  </si>
  <si>
    <t>Ex EP7</t>
  </si>
  <si>
    <t>Ex EP6</t>
  </si>
  <si>
    <t>Ex EP5</t>
  </si>
  <si>
    <t>Ex EP4</t>
  </si>
  <si>
    <t>Ex EP3</t>
  </si>
  <si>
    <t>Ex EP2</t>
  </si>
  <si>
    <t>Ex EP1</t>
  </si>
  <si>
    <t>Ex D8</t>
  </si>
  <si>
    <t>Ex D7</t>
  </si>
  <si>
    <t>Ex D6</t>
  </si>
  <si>
    <t>Ex D5</t>
  </si>
  <si>
    <t>Ex D4</t>
  </si>
  <si>
    <t>Ex D3</t>
  </si>
  <si>
    <t>Ex D2</t>
  </si>
  <si>
    <t>Ex D1</t>
  </si>
  <si>
    <t>Ex C8</t>
  </si>
  <si>
    <t>Ex C7</t>
  </si>
  <si>
    <t>Ex C6</t>
  </si>
  <si>
    <t>Ex C5</t>
  </si>
  <si>
    <t>Ex C4</t>
  </si>
  <si>
    <t>Ex C3</t>
  </si>
  <si>
    <t>Ex B7</t>
  </si>
  <si>
    <t>Ex B6</t>
  </si>
  <si>
    <t>Ex B5</t>
  </si>
  <si>
    <t>Ex B4</t>
  </si>
  <si>
    <t>Ex C1 e Ex C2</t>
  </si>
  <si>
    <t>Ex B1, ex B2 e Ex B3</t>
  </si>
  <si>
    <t>Differenziali</t>
  </si>
  <si>
    <t>Assegno per Ind. di ateneo</t>
  </si>
  <si>
    <t>13ma su stipendio base</t>
  </si>
  <si>
    <t>13ma su Differenzaili e IVC</t>
  </si>
  <si>
    <t>Oneri</t>
  </si>
  <si>
    <t>Retr. Pos. Per 13 mens</t>
  </si>
  <si>
    <t>13ma</t>
  </si>
  <si>
    <t>Ind. di ateneo</t>
  </si>
  <si>
    <t>IIS</t>
  </si>
  <si>
    <t>IRAP su Tot Ass Fissi</t>
  </si>
  <si>
    <t>BCD</t>
  </si>
  <si>
    <t>Tot. Ass. Fissi</t>
  </si>
  <si>
    <t>13ma su stipendio e IVC</t>
  </si>
  <si>
    <t>IVC 2024</t>
  </si>
  <si>
    <t>IVC dal 1° aprile al 30 giugno 2025</t>
  </si>
  <si>
    <t>IVC dal 1° luglio 2025</t>
  </si>
  <si>
    <t>Rinnovo mensile23-12_2025</t>
  </si>
  <si>
    <t>Incremento mensile a seguito  CCNL</t>
  </si>
  <si>
    <t>CCNL 23/12/2025</t>
  </si>
  <si>
    <t>CCNL 23/12/2025 + IVC 2025 apr-giu</t>
  </si>
  <si>
    <t>IVC 2025</t>
  </si>
  <si>
    <t>CCNL 23/12/2025 + IVC 2025 da luglio</t>
  </si>
  <si>
    <t>COSTO DEL PERSONALE CON I.V.C dal 01/01/2024 al 31/03/2025</t>
  </si>
  <si>
    <t>COSTO DEL PERSONALE CON I.V.C dal 01/04/2025 al 30/06/2025</t>
  </si>
  <si>
    <t>COSTO DEL PERSONALE CON I.V.C dal 01/07/2025</t>
  </si>
  <si>
    <t>Prima del CCNL 23_12_2025</t>
  </si>
  <si>
    <t>Dopo CCNL 23_12_2025</t>
  </si>
  <si>
    <t xml:space="preserve">13ma </t>
  </si>
  <si>
    <t>Totale Differenziale</t>
  </si>
  <si>
    <t>Differenziale annuo 
(PEA)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</si>
</sst>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27" x14ac:knownFonts="1">
    <font>
      <sz val="10"/>
      <name val="Arial"/>
    </font>
    <font>
      <sz val="11"/>
      <color theme="1"/>
      <name val="Calibri"/>
      <family val="2"/>
      <scheme val="minor"/>
    </font>
    <font>
      <b/>
      <sz val="10"/>
      <name val="Arial"/>
      <family val="2"/>
    </font>
    <font>
      <b/>
      <sz val="12"/>
      <name val="Arial"/>
      <family val="2"/>
    </font>
    <font>
      <b/>
      <sz val="14"/>
      <color indexed="8"/>
      <name val="Times New Roman"/>
      <family val="1"/>
    </font>
    <font>
      <sz val="10"/>
      <name val="Arial"/>
      <family val="2"/>
    </font>
    <font>
      <b/>
      <i/>
      <sz val="14"/>
      <name val="Arial"/>
      <family val="2"/>
    </font>
    <font>
      <b/>
      <sz val="7"/>
      <color rgb="FF010202"/>
      <name val="Times New Roman"/>
      <family val="1"/>
    </font>
    <font>
      <i/>
      <sz val="10"/>
      <color rgb="FF000000"/>
      <name val="Times New Roman"/>
      <family val="1"/>
    </font>
    <font>
      <b/>
      <sz val="10"/>
      <color rgb="FFFF0000"/>
      <name val="Arial"/>
      <family val="2"/>
    </font>
    <font>
      <b/>
      <sz val="10"/>
      <color indexed="8"/>
      <name val="Arial"/>
      <family val="2"/>
    </font>
    <font>
      <b/>
      <sz val="10"/>
      <color rgb="FF010202"/>
      <name val="Arial"/>
      <family val="2"/>
    </font>
    <font>
      <i/>
      <u/>
      <sz val="10"/>
      <color rgb="FF000000"/>
      <name val="Times New Roman"/>
      <family val="1"/>
    </font>
    <font>
      <sz val="10"/>
      <name val="Arial"/>
      <family val="2"/>
    </font>
    <font>
      <sz val="10"/>
      <color theme="1"/>
      <name val="Arial"/>
      <family val="2"/>
    </font>
    <font>
      <b/>
      <sz val="12"/>
      <color theme="1"/>
      <name val="Arial"/>
      <family val="2"/>
    </font>
    <font>
      <sz val="12"/>
      <color theme="1"/>
      <name val="Arial"/>
      <family val="2"/>
    </font>
    <font>
      <sz val="9"/>
      <color rgb="FF1A1A1A"/>
      <name val="Arial"/>
      <family val="2"/>
    </font>
    <font>
      <b/>
      <sz val="10"/>
      <color theme="1"/>
      <name val="Arial"/>
      <family val="2"/>
    </font>
    <font>
      <sz val="11"/>
      <color theme="1"/>
      <name val="Arial"/>
      <family val="2"/>
    </font>
    <font>
      <i/>
      <sz val="10"/>
      <color theme="1"/>
      <name val="Arial"/>
      <family val="2"/>
    </font>
    <font>
      <i/>
      <sz val="11"/>
      <color theme="1"/>
      <name val="Arial"/>
      <family val="2"/>
    </font>
    <font>
      <sz val="8"/>
      <color theme="1"/>
      <name val="Arial"/>
      <family val="2"/>
    </font>
    <font>
      <sz val="10"/>
      <color theme="1"/>
      <name val="Arial"/>
    </font>
    <font>
      <i/>
      <sz val="10"/>
      <name val="Arial"/>
      <family val="2"/>
    </font>
    <font>
      <b/>
      <sz val="8"/>
      <color indexed="8"/>
      <name val="Arial"/>
      <family val="2"/>
    </font>
    <font>
      <b/>
      <sz val="8"/>
      <color rgb="FF010202"/>
      <name val="Arial"/>
      <family val="2"/>
    </font>
  </fonts>
  <fills count="9">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top/>
      <bottom style="thin">
        <color indexed="64"/>
      </bottom>
      <diagonal/>
    </border>
  </borders>
  <cellStyleXfs count="4">
    <xf numFmtId="0" fontId="0" fillId="0" borderId="0"/>
    <xf numFmtId="0" fontId="5" fillId="0" borderId="0"/>
    <xf numFmtId="43" fontId="13" fillId="0" borderId="0" applyFont="0" applyFill="0" applyBorder="0" applyAlignment="0" applyProtection="0"/>
    <xf numFmtId="0" fontId="1" fillId="0" borderId="0"/>
  </cellStyleXfs>
  <cellXfs count="350">
    <xf numFmtId="0" fontId="0" fillId="0" borderId="0" xfId="0"/>
    <xf numFmtId="0" fontId="8" fillId="2" borderId="1" xfId="0" applyFont="1" applyFill="1" applyBorder="1" applyAlignment="1">
      <alignment horizontal="center" vertical="center" wrapText="1"/>
    </xf>
    <xf numFmtId="4" fontId="6" fillId="0" borderId="0" xfId="0" applyNumberFormat="1" applyFont="1" applyAlignment="1">
      <alignment vertical="center"/>
    </xf>
    <xf numFmtId="4" fontId="0" fillId="0" borderId="2" xfId="0" applyNumberFormat="1" applyBorder="1" applyAlignment="1">
      <alignment vertical="center"/>
    </xf>
    <xf numFmtId="4" fontId="0" fillId="0" borderId="1" xfId="0" applyNumberFormat="1" applyBorder="1" applyAlignment="1">
      <alignment vertical="center"/>
    </xf>
    <xf numFmtId="4" fontId="0" fillId="0" borderId="3" xfId="0" applyNumberFormat="1" applyBorder="1" applyAlignment="1">
      <alignment vertical="center"/>
    </xf>
    <xf numFmtId="4" fontId="0" fillId="0" borderId="0" xfId="0" applyNumberFormat="1" applyAlignment="1">
      <alignment vertical="center"/>
    </xf>
    <xf numFmtId="4" fontId="5" fillId="0" borderId="4" xfId="0" applyNumberFormat="1" applyFont="1" applyBorder="1" applyAlignment="1">
      <alignment horizontal="center" vertical="center" wrapText="1"/>
    </xf>
    <xf numFmtId="4" fontId="3" fillId="0" borderId="0" xfId="0" applyNumberFormat="1" applyFont="1" applyAlignment="1">
      <alignment vertical="center"/>
    </xf>
    <xf numFmtId="0" fontId="0" fillId="0" borderId="0" xfId="0" applyAlignment="1">
      <alignment vertical="center"/>
    </xf>
    <xf numFmtId="4" fontId="2" fillId="0" borderId="0" xfId="0" applyNumberFormat="1" applyFont="1" applyAlignment="1">
      <alignment vertical="center"/>
    </xf>
    <xf numFmtId="4" fontId="0" fillId="0" borderId="0" xfId="0" applyNumberFormat="1" applyAlignment="1">
      <alignment vertical="center" wrapText="1"/>
    </xf>
    <xf numFmtId="4" fontId="0" fillId="0" borderId="5" xfId="0" applyNumberFormat="1" applyBorder="1" applyAlignment="1">
      <alignment horizontal="center" vertical="center" wrapText="1"/>
    </xf>
    <xf numFmtId="4" fontId="5" fillId="0" borderId="9" xfId="0" applyNumberFormat="1" applyFont="1" applyBorder="1" applyAlignment="1">
      <alignment horizontal="center" vertical="center" wrapText="1"/>
    </xf>
    <xf numFmtId="0" fontId="0" fillId="0" borderId="0" xfId="0" applyAlignment="1">
      <alignment horizontal="center" vertical="center"/>
    </xf>
    <xf numFmtId="4" fontId="0" fillId="0" borderId="6" xfId="0" applyNumberFormat="1" applyBorder="1" applyAlignment="1">
      <alignment vertical="center"/>
    </xf>
    <xf numFmtId="4" fontId="0" fillId="0" borderId="7" xfId="0" applyNumberFormat="1" applyBorder="1" applyAlignment="1">
      <alignment vertical="center"/>
    </xf>
    <xf numFmtId="4" fontId="0" fillId="0" borderId="8" xfId="0" applyNumberFormat="1" applyBorder="1" applyAlignment="1">
      <alignment vertical="center"/>
    </xf>
    <xf numFmtId="4" fontId="9" fillId="0" borderId="0" xfId="0" applyNumberFormat="1" applyFont="1" applyAlignment="1">
      <alignment vertical="center"/>
    </xf>
    <xf numFmtId="4" fontId="0" fillId="0" borderId="10" xfId="0" applyNumberFormat="1" applyBorder="1" applyAlignment="1">
      <alignment vertical="center"/>
    </xf>
    <xf numFmtId="4" fontId="0" fillId="0" borderId="11" xfId="0" applyNumberFormat="1" applyBorder="1" applyAlignment="1">
      <alignment vertical="center"/>
    </xf>
    <xf numFmtId="4" fontId="0" fillId="0" borderId="12" xfId="0" applyNumberFormat="1" applyBorder="1" applyAlignment="1">
      <alignment vertical="center"/>
    </xf>
    <xf numFmtId="4" fontId="0" fillId="0" borderId="13" xfId="0" applyNumberFormat="1" applyBorder="1" applyAlignment="1">
      <alignment vertical="center"/>
    </xf>
    <xf numFmtId="4" fontId="0" fillId="0" borderId="14" xfId="0" applyNumberFormat="1" applyBorder="1" applyAlignment="1">
      <alignment vertical="center"/>
    </xf>
    <xf numFmtId="4" fontId="0" fillId="0" borderId="15" xfId="0" applyNumberFormat="1" applyBorder="1" applyAlignment="1">
      <alignment vertical="center"/>
    </xf>
    <xf numFmtId="4" fontId="0" fillId="0" borderId="0" xfId="0" applyNumberFormat="1" applyAlignment="1">
      <alignment horizontal="center" vertical="center" wrapText="1"/>
    </xf>
    <xf numFmtId="4" fontId="5" fillId="0" borderId="16" xfId="0" applyNumberFormat="1" applyFont="1" applyBorder="1" applyAlignment="1">
      <alignment vertical="center"/>
    </xf>
    <xf numFmtId="4" fontId="5" fillId="0" borderId="17" xfId="0" applyNumberFormat="1" applyFont="1" applyBorder="1" applyAlignment="1">
      <alignment vertical="center"/>
    </xf>
    <xf numFmtId="4" fontId="0" fillId="0" borderId="17" xfId="0" applyNumberFormat="1" applyBorder="1" applyAlignment="1">
      <alignment vertical="center"/>
    </xf>
    <xf numFmtId="4" fontId="0" fillId="0" borderId="18" xfId="0" applyNumberFormat="1" applyBorder="1" applyAlignment="1">
      <alignment vertical="center" wrapText="1"/>
    </xf>
    <xf numFmtId="4" fontId="5" fillId="0" borderId="17" xfId="0" applyNumberFormat="1" applyFont="1" applyBorder="1" applyAlignment="1">
      <alignment vertical="center" wrapText="1"/>
    </xf>
    <xf numFmtId="4" fontId="5" fillId="0" borderId="18" xfId="0" applyNumberFormat="1" applyFont="1" applyBorder="1" applyAlignment="1">
      <alignment vertical="center" wrapText="1"/>
    </xf>
    <xf numFmtId="4" fontId="5" fillId="0" borderId="19" xfId="0" applyNumberFormat="1" applyFont="1" applyBorder="1" applyAlignment="1">
      <alignment horizontal="center" vertical="center" wrapText="1"/>
    </xf>
    <xf numFmtId="4" fontId="0" fillId="0" borderId="20" xfId="0" applyNumberFormat="1" applyBorder="1" applyAlignment="1">
      <alignment vertical="center"/>
    </xf>
    <xf numFmtId="4" fontId="0" fillId="0" borderId="21" xfId="0" applyNumberFormat="1" applyBorder="1" applyAlignment="1">
      <alignment vertical="center"/>
    </xf>
    <xf numFmtId="4" fontId="0" fillId="0" borderId="22" xfId="0" applyNumberFormat="1" applyBorder="1" applyAlignment="1">
      <alignment vertical="center"/>
    </xf>
    <xf numFmtId="4" fontId="0" fillId="0" borderId="23" xfId="0" applyNumberFormat="1" applyBorder="1" applyAlignment="1">
      <alignment vertical="center"/>
    </xf>
    <xf numFmtId="0" fontId="5" fillId="0" borderId="0" xfId="0" applyFont="1"/>
    <xf numFmtId="0" fontId="5" fillId="2" borderId="0" xfId="0" applyFont="1" applyFill="1" applyAlignment="1">
      <alignment horizontal="left" vertical="center"/>
    </xf>
    <xf numFmtId="0" fontId="5" fillId="2" borderId="1" xfId="0" applyFont="1" applyFill="1" applyBorder="1" applyAlignment="1">
      <alignment horizontal="center" vertical="center" wrapText="1"/>
    </xf>
    <xf numFmtId="4" fontId="5" fillId="0" borderId="1" xfId="0" applyNumberFormat="1" applyFont="1" applyBorder="1"/>
    <xf numFmtId="0" fontId="11" fillId="2" borderId="1" xfId="0" applyFont="1" applyFill="1" applyBorder="1" applyAlignment="1">
      <alignment horizontal="center" vertical="center" wrapText="1"/>
    </xf>
    <xf numFmtId="0" fontId="5" fillId="0" borderId="1" xfId="0" applyFont="1" applyBorder="1"/>
    <xf numFmtId="0" fontId="8" fillId="2" borderId="24" xfId="0" applyFont="1" applyFill="1" applyBorder="1" applyAlignment="1">
      <alignment horizontal="center" vertical="center" wrapText="1"/>
    </xf>
    <xf numFmtId="0" fontId="5" fillId="0" borderId="27" xfId="0" applyFont="1" applyBorder="1"/>
    <xf numFmtId="0" fontId="5" fillId="2" borderId="29" xfId="0" applyFont="1" applyFill="1" applyBorder="1" applyAlignment="1">
      <alignment horizontal="left" vertical="center"/>
    </xf>
    <xf numFmtId="0" fontId="0" fillId="2" borderId="28" xfId="0" applyFill="1" applyBorder="1" applyAlignment="1">
      <alignment horizontal="left" vertical="center"/>
    </xf>
    <xf numFmtId="0" fontId="7" fillId="2" borderId="28" xfId="0" applyFont="1" applyFill="1" applyBorder="1" applyAlignment="1">
      <alignment horizontal="left" vertical="center"/>
    </xf>
    <xf numFmtId="0" fontId="11" fillId="2" borderId="30"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4"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0" borderId="29" xfId="0" applyFont="1" applyBorder="1"/>
    <xf numFmtId="0" fontId="5" fillId="2" borderId="30" xfId="0" applyFont="1" applyFill="1" applyBorder="1" applyAlignment="1">
      <alignment horizontal="left" vertical="center"/>
    </xf>
    <xf numFmtId="0" fontId="5" fillId="0" borderId="32" xfId="0" applyFont="1" applyBorder="1"/>
    <xf numFmtId="0" fontId="8" fillId="2" borderId="0" xfId="0" applyFont="1" applyFill="1" applyAlignment="1">
      <alignment horizontal="center" vertical="center" wrapText="1"/>
    </xf>
    <xf numFmtId="4" fontId="5" fillId="0" borderId="0" xfId="0" applyNumberFormat="1" applyFont="1"/>
    <xf numFmtId="0" fontId="0" fillId="2" borderId="0" xfId="0" applyFill="1" applyAlignment="1">
      <alignment horizontal="right" vertical="center"/>
    </xf>
    <xf numFmtId="0" fontId="8" fillId="2" borderId="24" xfId="0" applyFont="1" applyFill="1" applyBorder="1" applyAlignment="1">
      <alignment horizontal="right" vertical="center" wrapText="1"/>
    </xf>
    <xf numFmtId="0" fontId="5" fillId="0" borderId="24" xfId="0" applyFont="1" applyBorder="1"/>
    <xf numFmtId="0" fontId="5" fillId="2" borderId="24" xfId="0" applyFont="1" applyFill="1" applyBorder="1" applyAlignment="1">
      <alignment horizontal="center" vertical="center" wrapText="1"/>
    </xf>
    <xf numFmtId="4" fontId="5" fillId="0" borderId="24" xfId="0" applyNumberFormat="1" applyFont="1" applyBorder="1"/>
    <xf numFmtId="4" fontId="0" fillId="2" borderId="1" xfId="0" applyNumberFormat="1" applyFill="1" applyBorder="1" applyAlignment="1">
      <alignment horizontal="right" vertical="center"/>
    </xf>
    <xf numFmtId="43" fontId="0" fillId="0" borderId="0" xfId="2" applyFont="1" applyFill="1"/>
    <xf numFmtId="164" fontId="0" fillId="0" borderId="0" xfId="0" applyNumberFormat="1"/>
    <xf numFmtId="43" fontId="0" fillId="0" borderId="0" xfId="0" applyNumberFormat="1"/>
    <xf numFmtId="164" fontId="0" fillId="0" borderId="0" xfId="0" applyNumberFormat="1" applyAlignment="1">
      <alignment vertical="center"/>
    </xf>
    <xf numFmtId="2" fontId="0" fillId="0" borderId="1" xfId="0" applyNumberFormat="1" applyBorder="1"/>
    <xf numFmtId="0" fontId="16" fillId="0" borderId="0" xfId="3" applyFont="1"/>
    <xf numFmtId="0" fontId="15" fillId="0" borderId="35" xfId="3" applyFont="1" applyBorder="1" applyAlignment="1">
      <alignment horizontal="center" vertical="center" wrapText="1"/>
    </xf>
    <xf numFmtId="0" fontId="19" fillId="0" borderId="0" xfId="3" applyFont="1"/>
    <xf numFmtId="0" fontId="20" fillId="0" borderId="1" xfId="3" applyFont="1" applyBorder="1" applyAlignment="1">
      <alignment horizontal="center" vertical="center"/>
    </xf>
    <xf numFmtId="4" fontId="20" fillId="0" borderId="1" xfId="3" applyNumberFormat="1" applyFont="1" applyBorder="1" applyAlignment="1">
      <alignment horizontal="center" vertical="center" wrapText="1"/>
    </xf>
    <xf numFmtId="0" fontId="21" fillId="0" borderId="0" xfId="3" applyFont="1"/>
    <xf numFmtId="0" fontId="14" fillId="0" borderId="1" xfId="3" applyFont="1" applyBorder="1"/>
    <xf numFmtId="10" fontId="14" fillId="0" borderId="1" xfId="3" applyNumberFormat="1" applyFont="1" applyBorder="1"/>
    <xf numFmtId="4" fontId="14" fillId="0" borderId="1" xfId="3" applyNumberFormat="1" applyFont="1" applyBorder="1"/>
    <xf numFmtId="0" fontId="22" fillId="0" borderId="1" xfId="3" applyFont="1" applyBorder="1" applyAlignment="1">
      <alignment vertical="center" wrapText="1"/>
    </xf>
    <xf numFmtId="0" fontId="19" fillId="0" borderId="1" xfId="3" applyFont="1" applyBorder="1"/>
    <xf numFmtId="4" fontId="19" fillId="0" borderId="1" xfId="3" applyNumberFormat="1" applyFont="1" applyBorder="1"/>
    <xf numFmtId="4" fontId="19" fillId="0" borderId="0" xfId="3" applyNumberFormat="1" applyFont="1"/>
    <xf numFmtId="4" fontId="5" fillId="0" borderId="0" xfId="0" applyNumberFormat="1" applyFont="1" applyAlignment="1">
      <alignment vertical="center"/>
    </xf>
    <xf numFmtId="0" fontId="9" fillId="0" borderId="0" xfId="0" applyFont="1"/>
    <xf numFmtId="0" fontId="8" fillId="2" borderId="1" xfId="0" applyFont="1" applyFill="1" applyBorder="1" applyAlignment="1">
      <alignment horizontal="right" vertical="center" wrapText="1"/>
    </xf>
    <xf numFmtId="0" fontId="10" fillId="2" borderId="1" xfId="0" applyFont="1" applyFill="1" applyBorder="1" applyAlignment="1">
      <alignment horizontal="center" vertical="center" wrapText="1"/>
    </xf>
    <xf numFmtId="0" fontId="5" fillId="0" borderId="0" xfId="0" applyFont="1" applyAlignment="1">
      <alignment vertical="center"/>
    </xf>
    <xf numFmtId="0" fontId="5" fillId="0" borderId="27" xfId="0" applyFont="1" applyBorder="1" applyAlignment="1">
      <alignment vertical="center"/>
    </xf>
    <xf numFmtId="0" fontId="5" fillId="0" borderId="29" xfId="0" applyFont="1" applyBorder="1" applyAlignment="1">
      <alignment vertical="center"/>
    </xf>
    <xf numFmtId="0" fontId="5" fillId="0" borderId="32" xfId="0" applyFont="1" applyBorder="1" applyAlignment="1">
      <alignment vertical="center"/>
    </xf>
    <xf numFmtId="4" fontId="5" fillId="0" borderId="1" xfId="0" applyNumberFormat="1" applyFont="1" applyBorder="1" applyAlignment="1">
      <alignment vertical="center"/>
    </xf>
    <xf numFmtId="4" fontId="5" fillId="0" borderId="24" xfId="0" applyNumberFormat="1" applyFont="1" applyBorder="1" applyAlignment="1">
      <alignment vertical="center"/>
    </xf>
    <xf numFmtId="4" fontId="5" fillId="0" borderId="0" xfId="0" applyNumberFormat="1" applyFont="1" applyAlignment="1">
      <alignment vertical="center" wrapText="1"/>
    </xf>
    <xf numFmtId="0" fontId="0" fillId="0" borderId="0" xfId="0" applyAlignment="1">
      <alignment horizontal="right" vertical="center"/>
    </xf>
    <xf numFmtId="0" fontId="5" fillId="0" borderId="0" xfId="0" applyFont="1" applyAlignment="1">
      <alignment horizontal="right" vertical="center"/>
    </xf>
    <xf numFmtId="10" fontId="0" fillId="0" borderId="1" xfId="0" applyNumberFormat="1" applyBorder="1" applyAlignment="1">
      <alignment horizontal="center" vertical="center"/>
    </xf>
    <xf numFmtId="0" fontId="5" fillId="0" borderId="0" xfId="0" applyFont="1" applyAlignment="1">
      <alignment horizontal="center" vertical="center"/>
    </xf>
    <xf numFmtId="4" fontId="5" fillId="0" borderId="2" xfId="0" applyNumberFormat="1" applyFont="1" applyBorder="1" applyAlignment="1">
      <alignment vertical="center"/>
    </xf>
    <xf numFmtId="4" fontId="0" fillId="0" borderId="3" xfId="0" applyNumberFormat="1" applyBorder="1" applyAlignment="1">
      <alignment vertical="center" wrapText="1"/>
    </xf>
    <xf numFmtId="4" fontId="5" fillId="0" borderId="3" xfId="0" applyNumberFormat="1" applyFont="1" applyBorder="1" applyAlignment="1">
      <alignment vertical="center" wrapText="1"/>
    </xf>
    <xf numFmtId="0" fontId="10" fillId="4" borderId="48" xfId="0" applyFont="1" applyFill="1" applyBorder="1" applyAlignment="1">
      <alignment vertical="center" wrapText="1"/>
    </xf>
    <xf numFmtId="4" fontId="23" fillId="4" borderId="4" xfId="0" applyNumberFormat="1" applyFont="1" applyFill="1" applyBorder="1" applyAlignment="1">
      <alignment vertical="center"/>
    </xf>
    <xf numFmtId="4" fontId="0" fillId="4" borderId="4" xfId="0" applyNumberFormat="1" applyFill="1" applyBorder="1" applyAlignment="1">
      <alignment horizontal="center" vertical="center"/>
    </xf>
    <xf numFmtId="4" fontId="0" fillId="4" borderId="4" xfId="0" applyNumberFormat="1" applyFill="1" applyBorder="1" applyAlignment="1">
      <alignment vertical="center"/>
    </xf>
    <xf numFmtId="0" fontId="10" fillId="4" borderId="49" xfId="0" applyFont="1" applyFill="1" applyBorder="1" applyAlignment="1">
      <alignment vertical="center" wrapText="1"/>
    </xf>
    <xf numFmtId="0" fontId="10" fillId="5" borderId="48" xfId="0" applyFont="1" applyFill="1" applyBorder="1" applyAlignment="1">
      <alignment vertical="center" wrapText="1"/>
    </xf>
    <xf numFmtId="4" fontId="23" fillId="5" borderId="4" xfId="0" applyNumberFormat="1" applyFont="1" applyFill="1" applyBorder="1" applyAlignment="1">
      <alignment vertical="center"/>
    </xf>
    <xf numFmtId="4" fontId="0" fillId="5" borderId="4" xfId="0" applyNumberFormat="1" applyFill="1" applyBorder="1" applyAlignment="1">
      <alignment horizontal="center" vertical="center"/>
    </xf>
    <xf numFmtId="4" fontId="0" fillId="5" borderId="4" xfId="0" applyNumberFormat="1" applyFill="1" applyBorder="1" applyAlignment="1">
      <alignment vertical="center"/>
    </xf>
    <xf numFmtId="0" fontId="10" fillId="5" borderId="49" xfId="0" applyFont="1" applyFill="1" applyBorder="1" applyAlignment="1">
      <alignment vertical="center" wrapText="1"/>
    </xf>
    <xf numFmtId="0" fontId="10" fillId="6" borderId="48" xfId="0" applyFont="1" applyFill="1" applyBorder="1" applyAlignment="1">
      <alignment vertical="center" wrapText="1"/>
    </xf>
    <xf numFmtId="4" fontId="23" fillId="6" borderId="4" xfId="0" applyNumberFormat="1" applyFont="1" applyFill="1" applyBorder="1" applyAlignment="1">
      <alignment vertical="center"/>
    </xf>
    <xf numFmtId="4" fontId="0" fillId="6" borderId="4" xfId="0" applyNumberFormat="1" applyFill="1" applyBorder="1" applyAlignment="1">
      <alignment horizontal="center" vertical="center"/>
    </xf>
    <xf numFmtId="4" fontId="0" fillId="6" borderId="4" xfId="0" applyNumberFormat="1" applyFill="1" applyBorder="1" applyAlignment="1">
      <alignment vertical="center"/>
    </xf>
    <xf numFmtId="0" fontId="10" fillId="6" borderId="49" xfId="0" applyFont="1" applyFill="1" applyBorder="1" applyAlignment="1">
      <alignment vertical="center" wrapText="1"/>
    </xf>
    <xf numFmtId="0" fontId="11" fillId="7" borderId="48" xfId="0" applyFont="1" applyFill="1" applyBorder="1" applyAlignment="1">
      <alignment vertical="center" wrapText="1"/>
    </xf>
    <xf numFmtId="4" fontId="23" fillId="7" borderId="4" xfId="0" applyNumberFormat="1" applyFont="1" applyFill="1" applyBorder="1" applyAlignment="1">
      <alignment vertical="center"/>
    </xf>
    <xf numFmtId="4" fontId="0" fillId="7" borderId="4" xfId="0" applyNumberFormat="1" applyFill="1" applyBorder="1" applyAlignment="1">
      <alignment horizontal="center" vertical="center"/>
    </xf>
    <xf numFmtId="4" fontId="0" fillId="7" borderId="4" xfId="0" applyNumberFormat="1" applyFill="1" applyBorder="1" applyAlignment="1">
      <alignment vertical="center"/>
    </xf>
    <xf numFmtId="0" fontId="11" fillId="7" borderId="49" xfId="0" applyFont="1" applyFill="1" applyBorder="1" applyAlignment="1">
      <alignment vertical="center" wrapText="1"/>
    </xf>
    <xf numFmtId="0" fontId="24" fillId="0" borderId="50" xfId="0" applyFont="1" applyBorder="1" applyAlignment="1">
      <alignment horizontal="center" vertical="center"/>
    </xf>
    <xf numFmtId="4" fontId="24" fillId="0" borderId="41" xfId="0" applyNumberFormat="1" applyFont="1" applyBorder="1" applyAlignment="1">
      <alignment horizontal="center" vertical="center" wrapText="1"/>
    </xf>
    <xf numFmtId="4" fontId="24" fillId="0" borderId="19" xfId="0" applyNumberFormat="1" applyFont="1" applyBorder="1" applyAlignment="1">
      <alignment horizontal="center" vertical="center" wrapText="1"/>
    </xf>
    <xf numFmtId="4" fontId="24" fillId="0" borderId="51" xfId="0" applyNumberFormat="1" applyFont="1" applyBorder="1" applyAlignment="1">
      <alignment horizontal="center" vertical="center" wrapText="1"/>
    </xf>
    <xf numFmtId="0" fontId="24" fillId="0" borderId="37"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10" fontId="24" fillId="0" borderId="1" xfId="0" applyNumberFormat="1" applyFont="1" applyBorder="1" applyAlignment="1">
      <alignment horizontal="center" vertical="center"/>
    </xf>
    <xf numFmtId="0" fontId="24" fillId="0" borderId="48" xfId="0" applyFont="1" applyBorder="1" applyAlignment="1">
      <alignment horizontal="center" vertical="center"/>
    </xf>
    <xf numFmtId="4" fontId="24" fillId="0" borderId="4" xfId="0" applyNumberFormat="1" applyFont="1" applyBorder="1" applyAlignment="1">
      <alignment horizontal="center" vertical="center" wrapText="1"/>
    </xf>
    <xf numFmtId="0" fontId="24" fillId="0" borderId="49" xfId="0" applyFont="1" applyBorder="1" applyAlignment="1">
      <alignment horizontal="center" vertical="center"/>
    </xf>
    <xf numFmtId="4" fontId="24" fillId="0" borderId="5" xfId="0" applyNumberFormat="1" applyFont="1" applyBorder="1" applyAlignment="1">
      <alignment horizontal="center" vertical="center" wrapText="1"/>
    </xf>
    <xf numFmtId="4" fontId="24" fillId="0" borderId="9" xfId="0" applyNumberFormat="1" applyFont="1" applyBorder="1" applyAlignment="1">
      <alignment horizontal="center" vertical="center" wrapText="1"/>
    </xf>
    <xf numFmtId="4" fontId="24" fillId="0" borderId="0" xfId="0" applyNumberFormat="1" applyFont="1" applyAlignment="1">
      <alignment horizontal="center" vertical="center" wrapText="1"/>
    </xf>
    <xf numFmtId="0" fontId="24" fillId="0" borderId="0" xfId="0" applyFont="1" applyAlignment="1">
      <alignment vertical="center"/>
    </xf>
    <xf numFmtId="4" fontId="0" fillId="4" borderId="2" xfId="0" applyNumberFormat="1" applyFill="1" applyBorder="1" applyAlignment="1">
      <alignment horizontal="center" vertical="center"/>
    </xf>
    <xf numFmtId="4" fontId="0" fillId="4" borderId="2" xfId="0" applyNumberFormat="1" applyFill="1" applyBorder="1" applyAlignment="1">
      <alignment vertical="center"/>
    </xf>
    <xf numFmtId="4" fontId="0" fillId="4" borderId="21" xfId="0" applyNumberFormat="1" applyFill="1" applyBorder="1" applyAlignment="1">
      <alignment vertical="center"/>
    </xf>
    <xf numFmtId="4" fontId="0" fillId="4" borderId="2" xfId="0" applyNumberFormat="1" applyFill="1" applyBorder="1" applyAlignment="1">
      <alignment horizontal="right" vertical="center"/>
    </xf>
    <xf numFmtId="4" fontId="0" fillId="4" borderId="13" xfId="0" applyNumberFormat="1" applyFill="1" applyBorder="1" applyAlignment="1">
      <alignment vertical="center"/>
    </xf>
    <xf numFmtId="4" fontId="0" fillId="4" borderId="1" xfId="0" applyNumberFormat="1" applyFill="1" applyBorder="1" applyAlignment="1">
      <alignment horizontal="center" vertical="center"/>
    </xf>
    <xf numFmtId="4" fontId="0" fillId="4" borderId="1" xfId="0" applyNumberFormat="1" applyFill="1" applyBorder="1" applyAlignment="1">
      <alignment vertical="center"/>
    </xf>
    <xf numFmtId="4" fontId="0" fillId="4" borderId="20" xfId="0" applyNumberFormat="1" applyFill="1" applyBorder="1" applyAlignment="1">
      <alignment vertical="center"/>
    </xf>
    <xf numFmtId="4" fontId="0" fillId="4" borderId="1" xfId="0" applyNumberFormat="1" applyFill="1" applyBorder="1" applyAlignment="1">
      <alignment horizontal="right" vertical="center"/>
    </xf>
    <xf numFmtId="4" fontId="0" fillId="4" borderId="14" xfId="0" applyNumberFormat="1" applyFill="1" applyBorder="1" applyAlignment="1">
      <alignment vertical="center"/>
    </xf>
    <xf numFmtId="4" fontId="0" fillId="4" borderId="0" xfId="0" applyNumberFormat="1" applyFill="1" applyAlignment="1">
      <alignment horizontal="center" vertical="center"/>
    </xf>
    <xf numFmtId="4" fontId="0" fillId="4" borderId="3" xfId="0" applyNumberFormat="1" applyFill="1" applyBorder="1" applyAlignment="1">
      <alignment horizontal="center" vertical="center"/>
    </xf>
    <xf numFmtId="4" fontId="0" fillId="4" borderId="3" xfId="0" applyNumberFormat="1" applyFill="1" applyBorder="1" applyAlignment="1">
      <alignment vertical="center"/>
    </xf>
    <xf numFmtId="4" fontId="0" fillId="4" borderId="31" xfId="0" applyNumberFormat="1" applyFill="1" applyBorder="1" applyAlignment="1">
      <alignment horizontal="center" vertical="center"/>
    </xf>
    <xf numFmtId="4" fontId="0" fillId="4" borderId="3" xfId="0" applyNumberFormat="1" applyFill="1" applyBorder="1" applyAlignment="1">
      <alignment horizontal="right" vertical="center"/>
    </xf>
    <xf numFmtId="4" fontId="0" fillId="4" borderId="15" xfId="0" applyNumberFormat="1" applyFill="1" applyBorder="1" applyAlignment="1">
      <alignment vertical="center"/>
    </xf>
    <xf numFmtId="4" fontId="0" fillId="5" borderId="2" xfId="0" applyNumberFormat="1" applyFill="1" applyBorder="1" applyAlignment="1">
      <alignment horizontal="center" vertical="center"/>
    </xf>
    <xf numFmtId="4" fontId="0" fillId="5" borderId="2" xfId="0" applyNumberFormat="1" applyFill="1" applyBorder="1" applyAlignment="1">
      <alignment vertical="center"/>
    </xf>
    <xf numFmtId="4" fontId="0" fillId="5" borderId="44" xfId="0" applyNumberFormat="1" applyFill="1" applyBorder="1" applyAlignment="1">
      <alignment vertical="center"/>
    </xf>
    <xf numFmtId="4" fontId="0" fillId="5" borderId="41" xfId="0" applyNumberFormat="1" applyFill="1" applyBorder="1" applyAlignment="1">
      <alignment vertical="center"/>
    </xf>
    <xf numFmtId="4" fontId="0" fillId="5" borderId="2" xfId="0" applyNumberFormat="1" applyFill="1" applyBorder="1" applyAlignment="1">
      <alignment horizontal="right" vertical="center"/>
    </xf>
    <xf numFmtId="4" fontId="0" fillId="5" borderId="13" xfId="0" applyNumberFormat="1" applyFill="1" applyBorder="1" applyAlignment="1">
      <alignment vertical="center"/>
    </xf>
    <xf numFmtId="4" fontId="0" fillId="5" borderId="1" xfId="0" applyNumberFormat="1" applyFill="1" applyBorder="1" applyAlignment="1">
      <alignment horizontal="center" vertical="center"/>
    </xf>
    <xf numFmtId="4" fontId="0" fillId="5" borderId="1" xfId="0" applyNumberFormat="1" applyFill="1" applyBorder="1" applyAlignment="1">
      <alignment vertical="center"/>
    </xf>
    <xf numFmtId="4" fontId="0" fillId="5" borderId="36" xfId="0" applyNumberFormat="1" applyFill="1" applyBorder="1" applyAlignment="1">
      <alignment vertical="center"/>
    </xf>
    <xf numFmtId="4" fontId="0" fillId="5" borderId="42" xfId="0" applyNumberFormat="1" applyFill="1" applyBorder="1" applyAlignment="1">
      <alignment vertical="center"/>
    </xf>
    <xf numFmtId="4" fontId="0" fillId="5" borderId="1" xfId="0" applyNumberFormat="1" applyFill="1" applyBorder="1" applyAlignment="1">
      <alignment horizontal="right" vertical="center"/>
    </xf>
    <xf numFmtId="4" fontId="0" fillId="5" borderId="14" xfId="0" applyNumberFormat="1" applyFill="1" applyBorder="1" applyAlignment="1">
      <alignment vertical="center"/>
    </xf>
    <xf numFmtId="4" fontId="0" fillId="5" borderId="3" xfId="0" applyNumberFormat="1" applyFill="1" applyBorder="1" applyAlignment="1">
      <alignment horizontal="center" vertical="center"/>
    </xf>
    <xf numFmtId="4" fontId="0" fillId="5" borderId="3" xfId="0" applyNumberFormat="1" applyFill="1" applyBorder="1" applyAlignment="1">
      <alignment vertical="center"/>
    </xf>
    <xf numFmtId="4" fontId="0" fillId="5" borderId="52" xfId="0" applyNumberFormat="1" applyFill="1" applyBorder="1" applyAlignment="1">
      <alignment vertical="center"/>
    </xf>
    <xf numFmtId="4" fontId="0" fillId="5" borderId="43" xfId="0" applyNumberFormat="1" applyFill="1" applyBorder="1" applyAlignment="1">
      <alignment vertical="center"/>
    </xf>
    <xf numFmtId="4" fontId="0" fillId="5" borderId="3" xfId="0" applyNumberFormat="1" applyFill="1" applyBorder="1" applyAlignment="1">
      <alignment horizontal="right" vertical="center"/>
    </xf>
    <xf numFmtId="4" fontId="0" fillId="5" borderId="15" xfId="0" applyNumberFormat="1" applyFill="1" applyBorder="1" applyAlignment="1">
      <alignment vertical="center"/>
    </xf>
    <xf numFmtId="4" fontId="0" fillId="6" borderId="2" xfId="0" applyNumberFormat="1" applyFill="1" applyBorder="1" applyAlignment="1">
      <alignment horizontal="center" vertical="center"/>
    </xf>
    <xf numFmtId="4" fontId="0" fillId="6" borderId="2" xfId="0" applyNumberFormat="1" applyFill="1" applyBorder="1" applyAlignment="1">
      <alignment vertical="center"/>
    </xf>
    <xf numFmtId="4" fontId="0" fillId="6" borderId="26" xfId="0" applyNumberFormat="1" applyFill="1" applyBorder="1" applyAlignment="1">
      <alignment vertical="center"/>
    </xf>
    <xf numFmtId="4" fontId="0" fillId="6" borderId="41" xfId="0" applyNumberFormat="1" applyFill="1" applyBorder="1" applyAlignment="1">
      <alignment vertical="center"/>
    </xf>
    <xf numFmtId="4" fontId="0" fillId="6" borderId="2" xfId="0" applyNumberFormat="1" applyFill="1" applyBorder="1" applyAlignment="1">
      <alignment horizontal="right" vertical="center"/>
    </xf>
    <xf numFmtId="4" fontId="0" fillId="6" borderId="13" xfId="0" applyNumberFormat="1" applyFill="1" applyBorder="1" applyAlignment="1">
      <alignment vertical="center"/>
    </xf>
    <xf numFmtId="4" fontId="0" fillId="6" borderId="1" xfId="0" applyNumberFormat="1" applyFill="1" applyBorder="1" applyAlignment="1">
      <alignment horizontal="center" vertical="center"/>
    </xf>
    <xf numFmtId="4" fontId="0" fillId="6" borderId="1" xfId="0" applyNumberFormat="1" applyFill="1" applyBorder="1" applyAlignment="1">
      <alignment vertical="center"/>
    </xf>
    <xf numFmtId="4" fontId="0" fillId="6" borderId="0" xfId="0" applyNumberFormat="1" applyFill="1" applyAlignment="1">
      <alignment vertical="center"/>
    </xf>
    <xf numFmtId="4" fontId="0" fillId="6" borderId="42" xfId="0" applyNumberFormat="1" applyFill="1" applyBorder="1" applyAlignment="1">
      <alignment vertical="center"/>
    </xf>
    <xf numFmtId="4" fontId="0" fillId="6" borderId="1" xfId="0" applyNumberFormat="1" applyFill="1" applyBorder="1" applyAlignment="1">
      <alignment horizontal="right" vertical="center"/>
    </xf>
    <xf numFmtId="4" fontId="0" fillId="6" borderId="14" xfId="0" applyNumberFormat="1" applyFill="1" applyBorder="1" applyAlignment="1">
      <alignment vertical="center"/>
    </xf>
    <xf numFmtId="4" fontId="0" fillId="6" borderId="3" xfId="0" applyNumberFormat="1" applyFill="1" applyBorder="1" applyAlignment="1">
      <alignment horizontal="center" vertical="center"/>
    </xf>
    <xf numFmtId="4" fontId="0" fillId="6" borderId="3" xfId="0" applyNumberFormat="1" applyFill="1" applyBorder="1" applyAlignment="1">
      <alignment vertical="center"/>
    </xf>
    <xf numFmtId="4" fontId="0" fillId="6" borderId="31" xfId="0" applyNumberFormat="1" applyFill="1" applyBorder="1" applyAlignment="1">
      <alignment vertical="center"/>
    </xf>
    <xf numFmtId="4" fontId="0" fillId="6" borderId="43" xfId="0" applyNumberFormat="1" applyFill="1" applyBorder="1" applyAlignment="1">
      <alignment vertical="center"/>
    </xf>
    <xf numFmtId="4" fontId="0" fillId="6" borderId="3" xfId="0" applyNumberFormat="1" applyFill="1" applyBorder="1" applyAlignment="1">
      <alignment horizontal="right" vertical="center"/>
    </xf>
    <xf numFmtId="4" fontId="0" fillId="6" borderId="15" xfId="0" applyNumberFormat="1" applyFill="1" applyBorder="1" applyAlignment="1">
      <alignment vertical="center"/>
    </xf>
    <xf numFmtId="4" fontId="0" fillId="7" borderId="2" xfId="0" applyNumberFormat="1" applyFill="1" applyBorder="1" applyAlignment="1">
      <alignment horizontal="center" vertical="center"/>
    </xf>
    <xf numFmtId="4" fontId="0" fillId="7" borderId="2" xfId="0" applyNumberFormat="1" applyFill="1" applyBorder="1" applyAlignment="1">
      <alignment vertical="center"/>
    </xf>
    <xf numFmtId="4" fontId="0" fillId="7" borderId="26" xfId="0" applyNumberFormat="1" applyFill="1" applyBorder="1" applyAlignment="1">
      <alignment vertical="center"/>
    </xf>
    <xf numFmtId="4" fontId="0" fillId="7" borderId="41" xfId="0" applyNumberFormat="1" applyFill="1" applyBorder="1" applyAlignment="1">
      <alignment vertical="center"/>
    </xf>
    <xf numFmtId="4" fontId="0" fillId="7" borderId="2" xfId="0" applyNumberFormat="1" applyFill="1" applyBorder="1" applyAlignment="1">
      <alignment horizontal="right" vertical="center"/>
    </xf>
    <xf numFmtId="4" fontId="0" fillId="7" borderId="13" xfId="0" applyNumberFormat="1" applyFill="1" applyBorder="1" applyAlignment="1">
      <alignment vertical="center"/>
    </xf>
    <xf numFmtId="4" fontId="0" fillId="7" borderId="1" xfId="0" applyNumberFormat="1" applyFill="1" applyBorder="1" applyAlignment="1">
      <alignment horizontal="center" vertical="center"/>
    </xf>
    <xf numFmtId="4" fontId="0" fillId="7" borderId="1" xfId="0" applyNumberFormat="1" applyFill="1" applyBorder="1" applyAlignment="1">
      <alignment vertical="center"/>
    </xf>
    <xf numFmtId="4" fontId="0" fillId="7" borderId="0" xfId="0" applyNumberFormat="1" applyFill="1" applyAlignment="1">
      <alignment vertical="center"/>
    </xf>
    <xf numFmtId="4" fontId="0" fillId="7" borderId="42" xfId="0" applyNumberFormat="1" applyFill="1" applyBorder="1" applyAlignment="1">
      <alignment vertical="center"/>
    </xf>
    <xf numFmtId="4" fontId="0" fillId="7" borderId="1" xfId="0" applyNumberFormat="1" applyFill="1" applyBorder="1" applyAlignment="1">
      <alignment horizontal="right" vertical="center"/>
    </xf>
    <xf numFmtId="4" fontId="0" fillId="7" borderId="14" xfId="0" applyNumberFormat="1" applyFill="1" applyBorder="1" applyAlignment="1">
      <alignment vertical="center"/>
    </xf>
    <xf numFmtId="4" fontId="0" fillId="7" borderId="3" xfId="0" applyNumberFormat="1" applyFill="1" applyBorder="1" applyAlignment="1">
      <alignment horizontal="center" vertical="center"/>
    </xf>
    <xf numFmtId="4" fontId="0" fillId="7" borderId="3" xfId="0" applyNumberFormat="1" applyFill="1" applyBorder="1" applyAlignment="1">
      <alignment vertical="center"/>
    </xf>
    <xf numFmtId="4" fontId="0" fillId="7" borderId="31" xfId="0" applyNumberFormat="1" applyFill="1" applyBorder="1" applyAlignment="1">
      <alignment vertical="center"/>
    </xf>
    <xf numFmtId="4" fontId="0" fillId="7" borderId="43" xfId="0" applyNumberFormat="1" applyFill="1" applyBorder="1" applyAlignment="1">
      <alignment vertical="center"/>
    </xf>
    <xf numFmtId="4" fontId="0" fillId="7" borderId="3" xfId="0" applyNumberFormat="1" applyFill="1" applyBorder="1" applyAlignment="1">
      <alignment horizontal="right" vertical="center"/>
    </xf>
    <xf numFmtId="4" fontId="0" fillId="7" borderId="15" xfId="0" applyNumberFormat="1" applyFill="1" applyBorder="1" applyAlignment="1">
      <alignment vertical="center"/>
    </xf>
    <xf numFmtId="4" fontId="5" fillId="4" borderId="16" xfId="0" applyNumberFormat="1" applyFont="1" applyFill="1" applyBorder="1" applyAlignment="1">
      <alignment vertical="center"/>
    </xf>
    <xf numFmtId="4" fontId="0" fillId="4" borderId="6" xfId="0" applyNumberFormat="1" applyFill="1" applyBorder="1" applyAlignment="1">
      <alignment vertical="center"/>
    </xf>
    <xf numFmtId="4" fontId="0" fillId="4" borderId="40" xfId="0" applyNumberFormat="1" applyFill="1" applyBorder="1" applyAlignment="1">
      <alignment vertical="center"/>
    </xf>
    <xf numFmtId="4" fontId="5" fillId="4" borderId="17" xfId="0" applyNumberFormat="1" applyFont="1" applyFill="1" applyBorder="1" applyAlignment="1">
      <alignment vertical="center"/>
    </xf>
    <xf numFmtId="4" fontId="0" fillId="4" borderId="7" xfId="0" applyNumberFormat="1" applyFill="1" applyBorder="1" applyAlignment="1">
      <alignment vertical="center"/>
    </xf>
    <xf numFmtId="4" fontId="0" fillId="4" borderId="34" xfId="0" applyNumberFormat="1" applyFill="1" applyBorder="1" applyAlignment="1">
      <alignment vertical="center"/>
    </xf>
    <xf numFmtId="4" fontId="0" fillId="4" borderId="17" xfId="0" applyNumberFormat="1" applyFill="1" applyBorder="1" applyAlignment="1">
      <alignment vertical="center"/>
    </xf>
    <xf numFmtId="4" fontId="0" fillId="4" borderId="18" xfId="0" applyNumberFormat="1" applyFill="1" applyBorder="1" applyAlignment="1">
      <alignment vertical="center" wrapText="1"/>
    </xf>
    <xf numFmtId="4" fontId="0" fillId="4" borderId="23" xfId="0" applyNumberFormat="1" applyFill="1" applyBorder="1" applyAlignment="1">
      <alignment vertical="center"/>
    </xf>
    <xf numFmtId="4" fontId="0" fillId="4" borderId="35" xfId="0" applyNumberFormat="1" applyFill="1" applyBorder="1" applyAlignment="1">
      <alignment vertical="center"/>
    </xf>
    <xf numFmtId="4" fontId="0" fillId="4" borderId="22" xfId="0" applyNumberFormat="1" applyFill="1" applyBorder="1" applyAlignment="1">
      <alignment vertical="center"/>
    </xf>
    <xf numFmtId="4" fontId="0" fillId="4" borderId="8" xfId="0" applyNumberFormat="1" applyFill="1" applyBorder="1" applyAlignment="1">
      <alignment vertical="center"/>
    </xf>
    <xf numFmtId="4" fontId="5" fillId="5" borderId="16" xfId="0" applyNumberFormat="1" applyFont="1" applyFill="1" applyBorder="1" applyAlignment="1">
      <alignment vertical="center"/>
    </xf>
    <xf numFmtId="4" fontId="0" fillId="5" borderId="6" xfId="0" applyNumberFormat="1" applyFill="1" applyBorder="1" applyAlignment="1">
      <alignment vertical="center"/>
    </xf>
    <xf numFmtId="4" fontId="0" fillId="5" borderId="40" xfId="0" applyNumberFormat="1" applyFill="1" applyBorder="1" applyAlignment="1">
      <alignment vertical="center"/>
    </xf>
    <xf numFmtId="4" fontId="0" fillId="5" borderId="21" xfId="0" applyNumberFormat="1" applyFill="1" applyBorder="1" applyAlignment="1">
      <alignment vertical="center"/>
    </xf>
    <xf numFmtId="4" fontId="0" fillId="5" borderId="10" xfId="0" applyNumberFormat="1" applyFill="1" applyBorder="1" applyAlignment="1">
      <alignment vertical="center"/>
    </xf>
    <xf numFmtId="4" fontId="5" fillId="5" borderId="17" xfId="0" applyNumberFormat="1" applyFont="1" applyFill="1" applyBorder="1" applyAlignment="1">
      <alignment vertical="center"/>
    </xf>
    <xf numFmtId="4" fontId="0" fillId="5" borderId="7" xfId="0" applyNumberFormat="1" applyFill="1" applyBorder="1" applyAlignment="1">
      <alignment vertical="center"/>
    </xf>
    <xf numFmtId="4" fontId="0" fillId="5" borderId="34" xfId="0" applyNumberFormat="1" applyFill="1" applyBorder="1" applyAlignment="1">
      <alignment vertical="center"/>
    </xf>
    <xf numFmtId="4" fontId="0" fillId="5" borderId="20" xfId="0" applyNumberFormat="1" applyFill="1" applyBorder="1" applyAlignment="1">
      <alignment vertical="center"/>
    </xf>
    <xf numFmtId="4" fontId="0" fillId="5" borderId="11" xfId="0" applyNumberFormat="1" applyFill="1" applyBorder="1" applyAlignment="1">
      <alignment vertical="center"/>
    </xf>
    <xf numFmtId="4" fontId="0" fillId="5" borderId="17" xfId="0" applyNumberFormat="1" applyFill="1" applyBorder="1" applyAlignment="1">
      <alignment vertical="center"/>
    </xf>
    <xf numFmtId="4" fontId="0" fillId="5" borderId="18" xfId="0" applyNumberFormat="1" applyFill="1" applyBorder="1" applyAlignment="1">
      <alignment vertical="center" wrapText="1"/>
    </xf>
    <xf numFmtId="4" fontId="0" fillId="5" borderId="23" xfId="0" applyNumberFormat="1" applyFill="1" applyBorder="1" applyAlignment="1">
      <alignment vertical="center"/>
    </xf>
    <xf numFmtId="4" fontId="0" fillId="5" borderId="35" xfId="0" applyNumberFormat="1" applyFill="1" applyBorder="1" applyAlignment="1">
      <alignment vertical="center"/>
    </xf>
    <xf numFmtId="4" fontId="0" fillId="5" borderId="22" xfId="0" applyNumberFormat="1" applyFill="1" applyBorder="1" applyAlignment="1">
      <alignment vertical="center"/>
    </xf>
    <xf numFmtId="4" fontId="0" fillId="5" borderId="12" xfId="0" applyNumberFormat="1" applyFill="1" applyBorder="1" applyAlignment="1">
      <alignment vertical="center"/>
    </xf>
    <xf numFmtId="4" fontId="5" fillId="6" borderId="16" xfId="0" applyNumberFormat="1" applyFont="1" applyFill="1" applyBorder="1" applyAlignment="1">
      <alignment vertical="center"/>
    </xf>
    <xf numFmtId="4" fontId="0" fillId="6" borderId="6" xfId="0" applyNumberFormat="1" applyFill="1" applyBorder="1" applyAlignment="1">
      <alignment vertical="center"/>
    </xf>
    <xf numFmtId="4" fontId="0" fillId="6" borderId="40" xfId="0" applyNumberFormat="1" applyFill="1" applyBorder="1" applyAlignment="1">
      <alignment vertical="center"/>
    </xf>
    <xf numFmtId="4" fontId="0" fillId="6" borderId="21" xfId="0" applyNumberFormat="1" applyFill="1" applyBorder="1" applyAlignment="1">
      <alignment vertical="center"/>
    </xf>
    <xf numFmtId="4" fontId="0" fillId="6" borderId="10" xfId="0" applyNumberFormat="1" applyFill="1" applyBorder="1" applyAlignment="1">
      <alignment vertical="center"/>
    </xf>
    <xf numFmtId="4" fontId="5" fillId="6" borderId="17" xfId="0" applyNumberFormat="1" applyFont="1" applyFill="1" applyBorder="1" applyAlignment="1">
      <alignment vertical="center"/>
    </xf>
    <xf numFmtId="4" fontId="0" fillId="6" borderId="7" xfId="0" applyNumberFormat="1" applyFill="1" applyBorder="1" applyAlignment="1">
      <alignment vertical="center"/>
    </xf>
    <xf numFmtId="4" fontId="0" fillId="6" borderId="34" xfId="0" applyNumberFormat="1" applyFill="1" applyBorder="1" applyAlignment="1">
      <alignment vertical="center"/>
    </xf>
    <xf numFmtId="4" fontId="0" fillId="6" borderId="20" xfId="0" applyNumberFormat="1" applyFill="1" applyBorder="1" applyAlignment="1">
      <alignment vertical="center"/>
    </xf>
    <xf numFmtId="4" fontId="0" fillId="6" borderId="11" xfId="0" applyNumberFormat="1" applyFill="1" applyBorder="1" applyAlignment="1">
      <alignment vertical="center"/>
    </xf>
    <xf numFmtId="4" fontId="0" fillId="6" borderId="17" xfId="0" applyNumberFormat="1" applyFill="1" applyBorder="1" applyAlignment="1">
      <alignment vertical="center"/>
    </xf>
    <xf numFmtId="4" fontId="0" fillId="6" borderId="18" xfId="0" applyNumberFormat="1" applyFill="1" applyBorder="1" applyAlignment="1">
      <alignment vertical="center" wrapText="1"/>
    </xf>
    <xf numFmtId="4" fontId="0" fillId="6" borderId="23" xfId="0" applyNumberFormat="1" applyFill="1" applyBorder="1" applyAlignment="1">
      <alignment vertical="center"/>
    </xf>
    <xf numFmtId="4" fontId="0" fillId="6" borderId="35" xfId="0" applyNumberFormat="1" applyFill="1" applyBorder="1" applyAlignment="1">
      <alignment vertical="center"/>
    </xf>
    <xf numFmtId="4" fontId="0" fillId="6" borderId="22" xfId="0" applyNumberFormat="1" applyFill="1" applyBorder="1" applyAlignment="1">
      <alignment vertical="center"/>
    </xf>
    <xf numFmtId="4" fontId="0" fillId="6" borderId="12" xfId="0" applyNumberFormat="1" applyFill="1" applyBorder="1" applyAlignment="1">
      <alignment vertical="center"/>
    </xf>
    <xf numFmtId="4" fontId="5" fillId="7" borderId="16" xfId="0" applyNumberFormat="1" applyFont="1" applyFill="1" applyBorder="1" applyAlignment="1">
      <alignment vertical="center"/>
    </xf>
    <xf numFmtId="4" fontId="0" fillId="7" borderId="6" xfId="0" applyNumberFormat="1" applyFill="1" applyBorder="1" applyAlignment="1">
      <alignment vertical="center"/>
    </xf>
    <xf numFmtId="4" fontId="0" fillId="7" borderId="40" xfId="0" applyNumberFormat="1" applyFill="1" applyBorder="1" applyAlignment="1">
      <alignment vertical="center"/>
    </xf>
    <xf numFmtId="4" fontId="0" fillId="7" borderId="21" xfId="0" applyNumberFormat="1" applyFill="1" applyBorder="1" applyAlignment="1">
      <alignment vertical="center"/>
    </xf>
    <xf numFmtId="4" fontId="0" fillId="7" borderId="10" xfId="0" applyNumberFormat="1" applyFill="1" applyBorder="1" applyAlignment="1">
      <alignment vertical="center"/>
    </xf>
    <xf numFmtId="4" fontId="5" fillId="7" borderId="17" xfId="0" applyNumberFormat="1" applyFont="1" applyFill="1" applyBorder="1" applyAlignment="1">
      <alignment vertical="center"/>
    </xf>
    <xf numFmtId="4" fontId="0" fillId="7" borderId="7" xfId="0" applyNumberFormat="1" applyFill="1" applyBorder="1" applyAlignment="1">
      <alignment vertical="center"/>
    </xf>
    <xf numFmtId="4" fontId="0" fillId="7" borderId="34" xfId="0" applyNumberFormat="1" applyFill="1" applyBorder="1" applyAlignment="1">
      <alignment vertical="center"/>
    </xf>
    <xf numFmtId="4" fontId="0" fillId="7" borderId="20" xfId="0" applyNumberFormat="1" applyFill="1" applyBorder="1" applyAlignment="1">
      <alignment vertical="center"/>
    </xf>
    <xf numFmtId="4" fontId="0" fillId="7" borderId="11" xfId="0" applyNumberFormat="1" applyFill="1" applyBorder="1" applyAlignment="1">
      <alignment vertical="center"/>
    </xf>
    <xf numFmtId="4" fontId="5" fillId="7" borderId="17" xfId="0" applyNumberFormat="1" applyFont="1" applyFill="1" applyBorder="1" applyAlignment="1">
      <alignment vertical="center" wrapText="1"/>
    </xf>
    <xf numFmtId="4" fontId="5" fillId="7" borderId="18" xfId="0" applyNumberFormat="1" applyFont="1" applyFill="1" applyBorder="1" applyAlignment="1">
      <alignment vertical="center" wrapText="1"/>
    </xf>
    <xf numFmtId="4" fontId="0" fillId="7" borderId="8" xfId="0" applyNumberFormat="1" applyFill="1" applyBorder="1" applyAlignment="1">
      <alignment vertical="center"/>
    </xf>
    <xf numFmtId="4" fontId="0" fillId="7" borderId="53" xfId="0" applyNumberFormat="1" applyFill="1" applyBorder="1" applyAlignment="1">
      <alignment vertical="center"/>
    </xf>
    <xf numFmtId="4" fontId="0" fillId="7" borderId="22" xfId="0" applyNumberFormat="1" applyFill="1" applyBorder="1" applyAlignment="1">
      <alignment vertical="center"/>
    </xf>
    <xf numFmtId="4" fontId="0" fillId="7" borderId="12" xfId="0" applyNumberFormat="1" applyFill="1" applyBorder="1" applyAlignment="1">
      <alignment vertical="center"/>
    </xf>
    <xf numFmtId="0" fontId="11" fillId="8" borderId="1" xfId="0" applyFont="1" applyFill="1" applyBorder="1" applyAlignment="1">
      <alignment horizontal="center" vertical="center" wrapText="1"/>
    </xf>
    <xf numFmtId="2" fontId="0" fillId="8" borderId="1" xfId="0" applyNumberFormat="1" applyFill="1" applyBorder="1"/>
    <xf numFmtId="0" fontId="0" fillId="8" borderId="0" xfId="0" applyFill="1"/>
    <xf numFmtId="0" fontId="5" fillId="8" borderId="1" xfId="0" applyFont="1" applyFill="1" applyBorder="1" applyAlignment="1">
      <alignment horizontal="center" vertical="center" wrapText="1"/>
    </xf>
    <xf numFmtId="0" fontId="8" fillId="2" borderId="0" xfId="0" applyFont="1" applyFill="1" applyAlignment="1">
      <alignment horizontal="right" vertical="center" wrapText="1"/>
    </xf>
    <xf numFmtId="2" fontId="0" fillId="0" borderId="0" xfId="0" applyNumberFormat="1"/>
    <xf numFmtId="2" fontId="0" fillId="8" borderId="0" xfId="0" applyNumberFormat="1" applyFill="1"/>
    <xf numFmtId="4" fontId="0" fillId="3" borderId="2" xfId="0" applyNumberFormat="1" applyFill="1" applyBorder="1" applyAlignment="1">
      <alignment vertical="center"/>
    </xf>
    <xf numFmtId="4" fontId="0" fillId="3" borderId="1" xfId="0" applyNumberFormat="1" applyFill="1" applyBorder="1" applyAlignment="1">
      <alignment vertical="center"/>
    </xf>
    <xf numFmtId="4" fontId="24" fillId="6" borderId="19" xfId="0" applyNumberFormat="1" applyFont="1" applyFill="1" applyBorder="1" applyAlignment="1">
      <alignment horizontal="center" vertical="center" wrapText="1"/>
    </xf>
    <xf numFmtId="4" fontId="24" fillId="6" borderId="4" xfId="0" applyNumberFormat="1" applyFont="1" applyFill="1" applyBorder="1" applyAlignment="1">
      <alignment horizontal="center" vertical="center" wrapText="1"/>
    </xf>
    <xf numFmtId="4" fontId="24" fillId="6" borderId="41" xfId="0" applyNumberFormat="1" applyFont="1" applyFill="1" applyBorder="1" applyAlignment="1">
      <alignment horizontal="center" vertical="center" wrapText="1"/>
    </xf>
    <xf numFmtId="0" fontId="25" fillId="4" borderId="49" xfId="0" applyFont="1" applyFill="1" applyBorder="1" applyAlignment="1">
      <alignment vertical="center" wrapText="1"/>
    </xf>
    <xf numFmtId="0" fontId="25" fillId="5" borderId="49" xfId="0" applyFont="1" applyFill="1" applyBorder="1" applyAlignment="1">
      <alignment vertical="center" wrapText="1"/>
    </xf>
    <xf numFmtId="0" fontId="25" fillId="6" borderId="49" xfId="0" applyFont="1" applyFill="1" applyBorder="1" applyAlignment="1">
      <alignment vertical="center" wrapText="1"/>
    </xf>
    <xf numFmtId="0" fontId="26" fillId="7" borderId="49" xfId="0" applyFont="1" applyFill="1" applyBorder="1" applyAlignment="1">
      <alignment vertical="center" wrapText="1"/>
    </xf>
    <xf numFmtId="10" fontId="0" fillId="0" borderId="1" xfId="0" applyNumberFormat="1" applyBorder="1" applyAlignment="1">
      <alignment horizontal="center" vertical="center"/>
    </xf>
    <xf numFmtId="4" fontId="0" fillId="7" borderId="2" xfId="0" applyNumberFormat="1" applyFill="1" applyBorder="1" applyAlignment="1">
      <alignment horizontal="center" vertical="center"/>
    </xf>
    <xf numFmtId="4" fontId="0" fillId="7" borderId="1" xfId="0" applyNumberFormat="1" applyFill="1" applyBorder="1" applyAlignment="1">
      <alignment horizontal="center" vertical="center"/>
    </xf>
    <xf numFmtId="4" fontId="0" fillId="7" borderId="3" xfId="0" applyNumberFormat="1" applyFill="1" applyBorder="1" applyAlignment="1">
      <alignment horizontal="center" vertical="center"/>
    </xf>
    <xf numFmtId="0" fontId="10" fillId="4" borderId="37"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4" fontId="0" fillId="4" borderId="2" xfId="0" applyNumberFormat="1" applyFill="1" applyBorder="1" applyAlignment="1">
      <alignment horizontal="center" vertical="center"/>
    </xf>
    <xf numFmtId="4" fontId="0" fillId="4" borderId="1" xfId="0" applyNumberFormat="1" applyFill="1" applyBorder="1" applyAlignment="1">
      <alignment horizontal="center" vertical="center"/>
    </xf>
    <xf numFmtId="4" fontId="0" fillId="4" borderId="3" xfId="0" applyNumberFormat="1" applyFill="1" applyBorder="1" applyAlignment="1">
      <alignment horizontal="center" vertical="center"/>
    </xf>
    <xf numFmtId="4" fontId="0" fillId="5" borderId="2" xfId="0" applyNumberFormat="1" applyFill="1" applyBorder="1" applyAlignment="1">
      <alignment horizontal="center" vertical="center"/>
    </xf>
    <xf numFmtId="4" fontId="0" fillId="5" borderId="1" xfId="0" applyNumberFormat="1" applyFill="1" applyBorder="1" applyAlignment="1">
      <alignment horizontal="center" vertical="center"/>
    </xf>
    <xf numFmtId="4" fontId="0" fillId="5" borderId="3" xfId="0" applyNumberFormat="1" applyFill="1" applyBorder="1" applyAlignment="1">
      <alignment horizontal="center" vertical="center"/>
    </xf>
    <xf numFmtId="4" fontId="0" fillId="6" borderId="2" xfId="0" applyNumberFormat="1" applyFill="1" applyBorder="1" applyAlignment="1">
      <alignment horizontal="center" vertical="center"/>
    </xf>
    <xf numFmtId="4" fontId="0" fillId="6" borderId="1" xfId="0" applyNumberFormat="1" applyFill="1" applyBorder="1" applyAlignment="1">
      <alignment horizontal="center" vertical="center"/>
    </xf>
    <xf numFmtId="4" fontId="0" fillId="6" borderId="3" xfId="0" applyNumberFormat="1" applyFill="1" applyBorder="1" applyAlignment="1">
      <alignment horizontal="center" vertical="center"/>
    </xf>
    <xf numFmtId="4" fontId="0" fillId="4" borderId="20" xfId="0" applyNumberFormat="1" applyFill="1" applyBorder="1" applyAlignment="1">
      <alignment horizontal="center" vertical="center"/>
    </xf>
    <xf numFmtId="4" fontId="0" fillId="4" borderId="22" xfId="0" applyNumberFormat="1" applyFill="1" applyBorder="1" applyAlignment="1">
      <alignment horizontal="center" vertical="center"/>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4" fontId="0" fillId="4" borderId="21" xfId="0" applyNumberFormat="1" applyFill="1" applyBorder="1" applyAlignment="1">
      <alignment horizontal="center" vertical="center"/>
    </xf>
    <xf numFmtId="4" fontId="0" fillId="5" borderId="21" xfId="0" applyNumberFormat="1" applyFill="1" applyBorder="1" applyAlignment="1">
      <alignment horizontal="center" vertical="center"/>
    </xf>
    <xf numFmtId="4" fontId="0" fillId="5" borderId="20" xfId="0" applyNumberFormat="1" applyFill="1" applyBorder="1" applyAlignment="1">
      <alignment horizontal="center" vertical="center"/>
    </xf>
    <xf numFmtId="4" fontId="0" fillId="5" borderId="22" xfId="0" applyNumberFormat="1" applyFill="1" applyBorder="1" applyAlignment="1">
      <alignment horizontal="center" vertical="center"/>
    </xf>
    <xf numFmtId="4" fontId="0" fillId="6" borderId="21" xfId="0" applyNumberFormat="1" applyFill="1" applyBorder="1" applyAlignment="1">
      <alignment horizontal="center" vertical="center"/>
    </xf>
    <xf numFmtId="4" fontId="0" fillId="6" borderId="20" xfId="0" applyNumberFormat="1" applyFill="1" applyBorder="1" applyAlignment="1">
      <alignment horizontal="center" vertical="center"/>
    </xf>
    <xf numFmtId="4" fontId="0" fillId="6" borderId="22" xfId="0" applyNumberFormat="1" applyFill="1" applyBorder="1" applyAlignment="1">
      <alignment horizontal="center" vertical="center"/>
    </xf>
    <xf numFmtId="4" fontId="0" fillId="7" borderId="21" xfId="0" applyNumberFormat="1" applyFill="1" applyBorder="1" applyAlignment="1">
      <alignment horizontal="center" vertical="center"/>
    </xf>
    <xf numFmtId="4" fontId="0" fillId="7" borderId="20" xfId="0" applyNumberFormat="1" applyFill="1" applyBorder="1" applyAlignment="1">
      <alignment horizontal="center" vertical="center"/>
    </xf>
    <xf numFmtId="4" fontId="0" fillId="7" borderId="22" xfId="0" applyNumberFormat="1" applyFill="1" applyBorder="1" applyAlignment="1">
      <alignment horizontal="center" vertical="center"/>
    </xf>
    <xf numFmtId="0" fontId="25" fillId="5" borderId="37" xfId="0" applyFont="1" applyFill="1" applyBorder="1" applyAlignment="1">
      <alignment horizontal="center" vertical="center" wrapText="1"/>
    </xf>
    <xf numFmtId="0" fontId="25" fillId="5" borderId="38" xfId="0" applyFont="1" applyFill="1" applyBorder="1" applyAlignment="1">
      <alignment horizontal="center" vertical="center" wrapText="1"/>
    </xf>
    <xf numFmtId="0" fontId="25" fillId="5" borderId="39" xfId="0" applyFont="1" applyFill="1" applyBorder="1" applyAlignment="1">
      <alignment horizontal="center" vertical="center" wrapText="1"/>
    </xf>
    <xf numFmtId="0" fontId="26" fillId="7" borderId="37" xfId="0" applyFont="1" applyFill="1" applyBorder="1" applyAlignment="1">
      <alignment horizontal="center" vertical="center" wrapText="1"/>
    </xf>
    <xf numFmtId="0" fontId="26" fillId="7" borderId="38" xfId="0" applyFont="1" applyFill="1" applyBorder="1" applyAlignment="1">
      <alignment horizontal="center" vertical="center" wrapText="1"/>
    </xf>
    <xf numFmtId="0" fontId="26" fillId="7" borderId="39" xfId="0" applyFont="1" applyFill="1" applyBorder="1" applyAlignment="1">
      <alignment horizontal="center" vertical="center" wrapText="1"/>
    </xf>
    <xf numFmtId="0" fontId="25" fillId="4" borderId="37"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0" xfId="0" applyFont="1"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2" fillId="3" borderId="36" xfId="0" applyFont="1" applyFill="1" applyBorder="1" applyAlignment="1">
      <alignment horizontal="center" vertical="center"/>
    </xf>
    <xf numFmtId="0" fontId="2" fillId="3" borderId="0" xfId="0" applyFont="1" applyFill="1" applyAlignment="1">
      <alignment horizontal="center" vertical="center"/>
    </xf>
    <xf numFmtId="0" fontId="2" fillId="0" borderId="54" xfId="0" applyFont="1" applyBorder="1" applyAlignment="1">
      <alignment horizontal="center" vertical="center" wrapText="1"/>
    </xf>
    <xf numFmtId="0" fontId="15" fillId="0" borderId="1" xfId="3" applyFont="1" applyBorder="1" applyAlignment="1">
      <alignment horizontal="center" vertical="center" wrapText="1"/>
    </xf>
    <xf numFmtId="49" fontId="17" fillId="0" borderId="1" xfId="3" applyNumberFormat="1" applyFont="1" applyBorder="1" applyAlignment="1">
      <alignment horizontal="justify" vertical="center" wrapText="1"/>
    </xf>
    <xf numFmtId="0" fontId="18" fillId="0" borderId="1" xfId="3" applyFont="1" applyBorder="1" applyAlignment="1">
      <alignment horizontal="center" vertical="center" wrapText="1"/>
    </xf>
  </cellXfs>
  <cellStyles count="4">
    <cellStyle name="Migliaia" xfId="2" builtinId="3"/>
    <cellStyle name="Normale" xfId="0" builtinId="0"/>
    <cellStyle name="Normale 2" xfId="1" xr:uid="{E0CB55A6-9C59-40D1-BC2F-474A06CA3302}"/>
    <cellStyle name="Normale 3" xfId="3" xr:uid="{25B09532-9431-49A0-BA57-2E085D1E1FF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O39"/>
  <sheetViews>
    <sheetView topLeftCell="A4" zoomScaleNormal="100" workbookViewId="0">
      <selection activeCell="B7" sqref="B7"/>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0.28515625" style="6" customWidth="1"/>
    <col min="8" max="8" width="9.7109375" style="6" bestFit="1" customWidth="1"/>
    <col min="9" max="9" width="10.85546875" style="6" customWidth="1"/>
    <col min="10" max="10" width="10.7109375" style="6" customWidth="1"/>
    <col min="11" max="11" width="12" style="6" customWidth="1"/>
    <col min="12" max="13" width="10.7109375" style="6" customWidth="1"/>
    <col min="14" max="14" width="6.28515625" style="6" customWidth="1"/>
    <col min="15" max="15" width="9.140625" style="6"/>
    <col min="16" max="16384" width="9.140625" style="9"/>
  </cols>
  <sheetData>
    <row r="1" spans="1:15" ht="15.75" x14ac:dyDescent="0.2">
      <c r="B1" s="8"/>
    </row>
    <row r="2" spans="1:15" ht="18.75" x14ac:dyDescent="0.2">
      <c r="A2" s="2" t="s">
        <v>88</v>
      </c>
    </row>
    <row r="3" spans="1:15" x14ac:dyDescent="0.2">
      <c r="A3" s="10" t="s">
        <v>89</v>
      </c>
      <c r="B3" s="10"/>
      <c r="C3" s="10"/>
      <c r="D3" s="10"/>
    </row>
    <row r="4" spans="1:15" ht="13.5" thickBot="1" x14ac:dyDescent="0.25">
      <c r="A4" s="11"/>
    </row>
    <row r="5" spans="1:15" s="14" customFormat="1" ht="64.5" thickBot="1" x14ac:dyDescent="0.25">
      <c r="A5" s="12" t="s">
        <v>27</v>
      </c>
      <c r="B5" s="32" t="s">
        <v>46</v>
      </c>
      <c r="C5" s="7" t="s">
        <v>33</v>
      </c>
      <c r="D5" s="7" t="s">
        <v>36</v>
      </c>
      <c r="E5" s="7" t="s">
        <v>35</v>
      </c>
      <c r="F5" s="7" t="s">
        <v>42</v>
      </c>
      <c r="G5" s="7" t="s">
        <v>41</v>
      </c>
      <c r="H5" s="7" t="s">
        <v>34</v>
      </c>
      <c r="I5" s="7" t="s">
        <v>32</v>
      </c>
      <c r="J5" s="7" t="s">
        <v>37</v>
      </c>
      <c r="K5" s="7" t="s">
        <v>38</v>
      </c>
      <c r="L5" s="7" t="s">
        <v>39</v>
      </c>
      <c r="M5" s="13" t="s">
        <v>40</v>
      </c>
      <c r="N5" s="12" t="s">
        <v>27</v>
      </c>
      <c r="O5" s="25"/>
    </row>
    <row r="6" spans="1:15" x14ac:dyDescent="0.2">
      <c r="A6" s="26" t="s">
        <v>43</v>
      </c>
      <c r="B6" s="15">
        <f>VLOOKUP('2019'!$A6,'CCNL Economico 2022'!$A$7:$B$38,2,FALSE)</f>
        <v>37043.120000000003</v>
      </c>
      <c r="C6" s="34">
        <f t="shared" ref="C6:C36" si="0">B6-E6</f>
        <v>30224.890000000003</v>
      </c>
      <c r="D6" s="3">
        <v>3099</v>
      </c>
      <c r="E6" s="3">
        <f>6818.23</f>
        <v>6818.23</v>
      </c>
      <c r="F6" s="3">
        <f>VLOOKUP($A6,'CCNL Economico 2022'!$Q$7:$S$37,2,FALSE)</f>
        <v>3729.17</v>
      </c>
      <c r="G6" s="3">
        <f>VLOOKUP($A6,'CCNL Economico 2022'!$A$7:$E$38,5,FALSE)</f>
        <v>0</v>
      </c>
      <c r="H6" s="3">
        <f>ROUND((B6)/12,2)</f>
        <v>3086.93</v>
      </c>
      <c r="I6" s="3">
        <f>B6+D6+G6+H6+F6</f>
        <v>46958.22</v>
      </c>
      <c r="J6" s="3">
        <f t="shared" ref="J6:J13" si="1">ROUND((C6)*34.24%+D6*24.2%,2)+ROUND((F6*29.88%+H6*29.88%+E6*29.88%),2)</f>
        <v>15172.9</v>
      </c>
      <c r="K6" s="3">
        <f>ROUND(I6*8.5%,0)</f>
        <v>3991</v>
      </c>
      <c r="L6" s="3">
        <f>I6+J6+K6</f>
        <v>66122.12</v>
      </c>
      <c r="M6" s="22">
        <f>J6+K6</f>
        <v>19163.900000000001</v>
      </c>
      <c r="N6" s="15" t="str">
        <f>A6</f>
        <v>EP8</v>
      </c>
    </row>
    <row r="7" spans="1:15" x14ac:dyDescent="0.2">
      <c r="A7" s="27" t="s">
        <v>0</v>
      </c>
      <c r="B7" s="16">
        <f>VLOOKUP('2019'!$A7,'CCNL Economico 2022'!$A$7:$B$38,2,FALSE)</f>
        <v>35943.120000000003</v>
      </c>
      <c r="C7" s="33">
        <f>B7-E7</f>
        <v>29124.890000000003</v>
      </c>
      <c r="D7" s="4">
        <v>3099</v>
      </c>
      <c r="E7" s="4">
        <f>6818.23</f>
        <v>6818.23</v>
      </c>
      <c r="F7" s="4">
        <f>VLOOKUP($A7,'CCNL Economico 2022'!$Q$7:$S$37,2,FALSE)</f>
        <v>3729.17</v>
      </c>
      <c r="G7" s="4">
        <f>VLOOKUP($A7,'CCNL Economico 2022'!$A$7:$E$38,5,FALSE)</f>
        <v>0</v>
      </c>
      <c r="H7" s="4">
        <f>ROUND((B7)/12,2)</f>
        <v>2995.26</v>
      </c>
      <c r="I7" s="4">
        <f>B7+D7+G7+H7+F7</f>
        <v>45766.55</v>
      </c>
      <c r="J7" s="4">
        <f t="shared" si="1"/>
        <v>14768.869999999999</v>
      </c>
      <c r="K7" s="4">
        <f>ROUND(I7*8.5%,0)</f>
        <v>3890</v>
      </c>
      <c r="L7" s="4">
        <f>I7+J7+K7</f>
        <v>64425.42</v>
      </c>
      <c r="M7" s="23">
        <f>J7+K7</f>
        <v>18658.87</v>
      </c>
      <c r="N7" s="16" t="str">
        <f>A7</f>
        <v>EP7</v>
      </c>
    </row>
    <row r="8" spans="1:15" x14ac:dyDescent="0.2">
      <c r="A8" s="28" t="s">
        <v>1</v>
      </c>
      <c r="B8" s="16">
        <f>VLOOKUP('2019'!$A8,'CCNL Economico 2022'!$A$7:$B$38,2,FALSE)</f>
        <v>34533.75</v>
      </c>
      <c r="C8" s="33">
        <f t="shared" si="0"/>
        <v>27715.52</v>
      </c>
      <c r="D8" s="4">
        <v>3099</v>
      </c>
      <c r="E8" s="4">
        <f>6818.23</f>
        <v>6818.23</v>
      </c>
      <c r="F8" s="4">
        <f>VLOOKUP($A8,'CCNL Economico 2022'!$Q$7:$S$37,2,FALSE)</f>
        <v>3729.17</v>
      </c>
      <c r="G8" s="4">
        <f>VLOOKUP($A8,'CCNL Economico 2022'!$A$7:$E$38,5,FALSE)</f>
        <v>0</v>
      </c>
      <c r="H8" s="4">
        <f t="shared" ref="H8:H36" si="2">ROUND((B8)/12,2)</f>
        <v>2877.81</v>
      </c>
      <c r="I8" s="4">
        <f t="shared" ref="I8:I36" si="3">B8+D8+G8+H8+F8</f>
        <v>44239.729999999996</v>
      </c>
      <c r="J8" s="4">
        <f t="shared" si="1"/>
        <v>14251.2</v>
      </c>
      <c r="K8" s="4">
        <f>ROUND(I8*8.5%,0)</f>
        <v>3760</v>
      </c>
      <c r="L8" s="4">
        <f>I8+J8+K8</f>
        <v>62250.929999999993</v>
      </c>
      <c r="M8" s="23">
        <f>J8+K8</f>
        <v>18011.2</v>
      </c>
      <c r="N8" s="16" t="str">
        <f>A8</f>
        <v>EP6</v>
      </c>
    </row>
    <row r="9" spans="1:15" x14ac:dyDescent="0.2">
      <c r="A9" s="28" t="s">
        <v>2</v>
      </c>
      <c r="B9" s="16">
        <f>VLOOKUP('2019'!$A9,'CCNL Economico 2022'!$A$7:$B$38,2,FALSE)</f>
        <v>33183.85</v>
      </c>
      <c r="C9" s="33">
        <f t="shared" si="0"/>
        <v>26365.62</v>
      </c>
      <c r="D9" s="4">
        <v>3099</v>
      </c>
      <c r="E9" s="4">
        <f>6818.23</f>
        <v>6818.23</v>
      </c>
      <c r="F9" s="4">
        <f>VLOOKUP($A9,'CCNL Economico 2022'!$Q$7:$S$37,2,FALSE)</f>
        <v>3729.17</v>
      </c>
      <c r="G9" s="4">
        <f>VLOOKUP($A9,'CCNL Economico 2022'!$A$7:$E$38,5,FALSE)</f>
        <v>0</v>
      </c>
      <c r="H9" s="4">
        <f t="shared" si="2"/>
        <v>2765.32</v>
      </c>
      <c r="I9" s="4">
        <f t="shared" si="3"/>
        <v>42777.34</v>
      </c>
      <c r="J9" s="4">
        <f t="shared" si="1"/>
        <v>13755.39</v>
      </c>
      <c r="K9" s="4">
        <f t="shared" ref="K9:K36" si="4">ROUND(I9*8.5%,0)</f>
        <v>3636</v>
      </c>
      <c r="L9" s="4">
        <f t="shared" ref="L9:L36" si="5">I9+J9+K9</f>
        <v>60168.729999999996</v>
      </c>
      <c r="M9" s="23">
        <f t="shared" ref="M9:M36" si="6">J9+K9</f>
        <v>17391.39</v>
      </c>
      <c r="N9" s="16" t="s">
        <v>2</v>
      </c>
    </row>
    <row r="10" spans="1:15" x14ac:dyDescent="0.2">
      <c r="A10" s="27" t="s">
        <v>3</v>
      </c>
      <c r="B10" s="16">
        <f>VLOOKUP('2019'!$A10,'CCNL Economico 2022'!$A$7:$B$38,2,FALSE)</f>
        <v>31727.47</v>
      </c>
      <c r="C10" s="33">
        <f t="shared" si="0"/>
        <v>24909.24</v>
      </c>
      <c r="D10" s="4">
        <v>3099</v>
      </c>
      <c r="E10" s="4">
        <f>6818.23</f>
        <v>6818.23</v>
      </c>
      <c r="F10" s="4">
        <f>VLOOKUP($A10,'CCNL Economico 2022'!$Q$7:$S$37,2,FALSE)</f>
        <v>3729.17</v>
      </c>
      <c r="G10" s="4">
        <f>VLOOKUP($A10,'CCNL Economico 2022'!$A$7:$E$38,5,FALSE)</f>
        <v>0</v>
      </c>
      <c r="H10" s="4">
        <f t="shared" si="2"/>
        <v>2643.96</v>
      </c>
      <c r="I10" s="4">
        <f t="shared" si="3"/>
        <v>41199.599999999999</v>
      </c>
      <c r="J10" s="4">
        <f t="shared" si="1"/>
        <v>13220.46</v>
      </c>
      <c r="K10" s="4">
        <f t="shared" si="4"/>
        <v>3502</v>
      </c>
      <c r="L10" s="4">
        <f t="shared" si="5"/>
        <v>57922.06</v>
      </c>
      <c r="M10" s="23">
        <f t="shared" si="6"/>
        <v>16722.46</v>
      </c>
      <c r="N10" s="16" t="s">
        <v>3</v>
      </c>
    </row>
    <row r="11" spans="1:15" x14ac:dyDescent="0.2">
      <c r="A11" s="28" t="s">
        <v>4</v>
      </c>
      <c r="B11" s="16">
        <f>VLOOKUP('2019'!$A11,'CCNL Economico 2022'!$A$7:$B$38,2,FALSE)</f>
        <v>29343.58</v>
      </c>
      <c r="C11" s="33">
        <f t="shared" si="0"/>
        <v>22661.32</v>
      </c>
      <c r="D11" s="4">
        <v>3099</v>
      </c>
      <c r="E11" s="4">
        <f>6682.26</f>
        <v>6682.26</v>
      </c>
      <c r="F11" s="4">
        <f>VLOOKUP($A11,'CCNL Economico 2022'!$Q$7:$S$37,2,FALSE)</f>
        <v>2816.8</v>
      </c>
      <c r="G11" s="4">
        <f>VLOOKUP($A11,'CCNL Economico 2022'!$A$7:$E$38,5,FALSE)</f>
        <v>0</v>
      </c>
      <c r="H11" s="4">
        <f t="shared" si="2"/>
        <v>2445.3000000000002</v>
      </c>
      <c r="I11" s="4">
        <f t="shared" si="3"/>
        <v>37704.680000000008</v>
      </c>
      <c r="J11" s="4">
        <f t="shared" si="1"/>
        <v>12078.16</v>
      </c>
      <c r="K11" s="4">
        <f t="shared" si="4"/>
        <v>3205</v>
      </c>
      <c r="L11" s="4">
        <f t="shared" si="5"/>
        <v>52987.840000000011</v>
      </c>
      <c r="M11" s="23">
        <f t="shared" si="6"/>
        <v>15283.16</v>
      </c>
      <c r="N11" s="16" t="s">
        <v>4</v>
      </c>
    </row>
    <row r="12" spans="1:15" x14ac:dyDescent="0.2">
      <c r="A12" s="28" t="s">
        <v>5</v>
      </c>
      <c r="B12" s="16">
        <f>VLOOKUP('2019'!$A12,'CCNL Economico 2022'!$A$7:$B$38,2,FALSE)</f>
        <v>27728.240000000002</v>
      </c>
      <c r="C12" s="33">
        <f t="shared" si="0"/>
        <v>21045.980000000003</v>
      </c>
      <c r="D12" s="4">
        <v>3099</v>
      </c>
      <c r="E12" s="4">
        <f>6682.26</f>
        <v>6682.26</v>
      </c>
      <c r="F12" s="4">
        <f>VLOOKUP($A12,'CCNL Economico 2022'!$Q$7:$S$37,2,FALSE)</f>
        <v>2816.8</v>
      </c>
      <c r="G12" s="4">
        <f>VLOOKUP($A12,'CCNL Economico 2022'!$A$7:$E$38,5,FALSE)</f>
        <v>0</v>
      </c>
      <c r="H12" s="4">
        <f t="shared" si="2"/>
        <v>2310.69</v>
      </c>
      <c r="I12" s="4">
        <f t="shared" si="3"/>
        <v>35954.730000000003</v>
      </c>
      <c r="J12" s="4">
        <f t="shared" si="1"/>
        <v>11484.85</v>
      </c>
      <c r="K12" s="4">
        <f t="shared" si="4"/>
        <v>3056</v>
      </c>
      <c r="L12" s="4">
        <f t="shared" si="5"/>
        <v>50495.58</v>
      </c>
      <c r="M12" s="23">
        <f t="shared" si="6"/>
        <v>14540.85</v>
      </c>
      <c r="N12" s="16" t="s">
        <v>5</v>
      </c>
    </row>
    <row r="13" spans="1:15" ht="13.5" thickBot="1" x14ac:dyDescent="0.25">
      <c r="A13" s="29" t="s">
        <v>6</v>
      </c>
      <c r="B13" s="36">
        <f>VLOOKUP('2019'!$A13,'CCNL Economico 2022'!$A$7:$B$38,2,FALSE)</f>
        <v>26024.85</v>
      </c>
      <c r="C13" s="35">
        <f t="shared" si="0"/>
        <v>19342.589999999997</v>
      </c>
      <c r="D13" s="5">
        <v>3099</v>
      </c>
      <c r="E13" s="5">
        <f>6682.26</f>
        <v>6682.26</v>
      </c>
      <c r="F13" s="5">
        <f>VLOOKUP($A13,'CCNL Economico 2022'!$Q$7:$S$37,2,FALSE)</f>
        <v>2816.8</v>
      </c>
      <c r="G13" s="5">
        <f>VLOOKUP($A13,'CCNL Economico 2022'!$A$7:$E$38,5,FALSE)</f>
        <v>0</v>
      </c>
      <c r="H13" s="5">
        <f t="shared" si="2"/>
        <v>2168.7399999999998</v>
      </c>
      <c r="I13" s="5">
        <f t="shared" si="3"/>
        <v>34109.39</v>
      </c>
      <c r="J13" s="5">
        <f t="shared" si="1"/>
        <v>10859.2</v>
      </c>
      <c r="K13" s="5">
        <f t="shared" si="4"/>
        <v>2899</v>
      </c>
      <c r="L13" s="5">
        <f t="shared" si="5"/>
        <v>47867.59</v>
      </c>
      <c r="M13" s="24">
        <f t="shared" si="6"/>
        <v>13758.2</v>
      </c>
      <c r="N13" s="17" t="s">
        <v>6</v>
      </c>
    </row>
    <row r="14" spans="1:15" x14ac:dyDescent="0.2">
      <c r="A14" s="26" t="s">
        <v>44</v>
      </c>
      <c r="B14" s="15">
        <f>VLOOKUP('2019'!$A14,'CCNL Economico 2022'!$A$7:$B$38,2,FALSE)</f>
        <v>30310.86</v>
      </c>
      <c r="C14" s="34">
        <f t="shared" si="0"/>
        <v>23765.620000000003</v>
      </c>
      <c r="D14" s="3"/>
      <c r="E14" s="3">
        <f>6545.24</f>
        <v>6545.24</v>
      </c>
      <c r="F14" s="3">
        <f>VLOOKUP($A14,'CCNL Economico 2022'!$Q$7:$S$37,2,FALSE)</f>
        <v>2350.06</v>
      </c>
      <c r="G14" s="3">
        <f>VLOOKUP($A14,'CCNL Economico 2022'!$A$7:$E$38,5,FALSE)</f>
        <v>0</v>
      </c>
      <c r="H14" s="3">
        <f t="shared" si="2"/>
        <v>2525.91</v>
      </c>
      <c r="I14" s="3">
        <f t="shared" si="3"/>
        <v>35186.83</v>
      </c>
      <c r="J14" s="3">
        <f>+I14*29.88%</f>
        <v>10513.824804000002</v>
      </c>
      <c r="K14" s="3">
        <f>ROUND(I14*8.5%,0)</f>
        <v>2991</v>
      </c>
      <c r="L14" s="3">
        <f>I14+J14+K14</f>
        <v>48691.654804000005</v>
      </c>
      <c r="M14" s="22">
        <f>J14+K14</f>
        <v>13504.824804000002</v>
      </c>
      <c r="N14" s="19" t="str">
        <f>A14</f>
        <v>D8</v>
      </c>
    </row>
    <row r="15" spans="1:15" x14ac:dyDescent="0.2">
      <c r="A15" s="27" t="s">
        <v>7</v>
      </c>
      <c r="B15" s="16">
        <f>VLOOKUP('2019'!$A15,'CCNL Economico 2022'!$A$7:$B$38,2,FALSE)</f>
        <v>29410.86</v>
      </c>
      <c r="C15" s="33">
        <f>B15-E15</f>
        <v>22865.620000000003</v>
      </c>
      <c r="D15" s="4"/>
      <c r="E15" s="4">
        <f t="shared" ref="E15:E21" si="7">6545.24</f>
        <v>6545.24</v>
      </c>
      <c r="F15" s="4">
        <f>VLOOKUP($A15,'CCNL Economico 2022'!$Q$7:$S$37,2,FALSE)</f>
        <v>2350.06</v>
      </c>
      <c r="G15" s="4">
        <f>VLOOKUP($A15,'CCNL Economico 2022'!$A$7:$E$38,5,FALSE)</f>
        <v>0</v>
      </c>
      <c r="H15" s="4">
        <f>ROUND((B15)/12,2)</f>
        <v>2450.91</v>
      </c>
      <c r="I15" s="4">
        <f>B15+D15+G15+H15+F15</f>
        <v>34211.83</v>
      </c>
      <c r="J15" s="4">
        <f t="shared" ref="J15:J19" si="8">+I15*29.88%</f>
        <v>10222.494804000002</v>
      </c>
      <c r="K15" s="4">
        <f>ROUND(I15*8.5%,0)</f>
        <v>2908</v>
      </c>
      <c r="L15" s="4">
        <f>I15+J15+K15</f>
        <v>47342.324804000003</v>
      </c>
      <c r="M15" s="23">
        <f>J15+K15</f>
        <v>13130.494804000002</v>
      </c>
      <c r="N15" s="20" t="str">
        <f>A15</f>
        <v>D7</v>
      </c>
    </row>
    <row r="16" spans="1:15" x14ac:dyDescent="0.2">
      <c r="A16" s="28" t="s">
        <v>8</v>
      </c>
      <c r="B16" s="16">
        <f>VLOOKUP('2019'!$A16,'CCNL Economico 2022'!$A$7:$B$38,2,FALSE)</f>
        <v>28354.48</v>
      </c>
      <c r="C16" s="33">
        <f t="shared" si="0"/>
        <v>21809.239999999998</v>
      </c>
      <c r="D16" s="4"/>
      <c r="E16" s="4">
        <f t="shared" si="7"/>
        <v>6545.24</v>
      </c>
      <c r="F16" s="4">
        <f>VLOOKUP($A16,'CCNL Economico 2022'!$Q$7:$S$37,2,FALSE)</f>
        <v>2350.06</v>
      </c>
      <c r="G16" s="4">
        <f>VLOOKUP($A16,'CCNL Economico 2022'!$A$7:$E$38,5,FALSE)</f>
        <v>0</v>
      </c>
      <c r="H16" s="4">
        <f t="shared" si="2"/>
        <v>2362.87</v>
      </c>
      <c r="I16" s="4">
        <f t="shared" si="3"/>
        <v>33067.409999999996</v>
      </c>
      <c r="J16" s="4">
        <f t="shared" si="8"/>
        <v>9880.5421079999996</v>
      </c>
      <c r="K16" s="4">
        <f>ROUND(I16*8.5%,0)</f>
        <v>2811</v>
      </c>
      <c r="L16" s="4">
        <f>I16+J16+K16</f>
        <v>45758.952107999998</v>
      </c>
      <c r="M16" s="23">
        <f>J16+K16</f>
        <v>12691.542108</v>
      </c>
      <c r="N16" s="20" t="str">
        <f>A16</f>
        <v>D6</v>
      </c>
    </row>
    <row r="17" spans="1:14" x14ac:dyDescent="0.2">
      <c r="A17" s="28" t="s">
        <v>9</v>
      </c>
      <c r="B17" s="16">
        <f>VLOOKUP('2019'!$A17,'CCNL Economico 2022'!$A$7:$B$38,2,FALSE)</f>
        <v>27340.5</v>
      </c>
      <c r="C17" s="33">
        <f t="shared" si="0"/>
        <v>20795.260000000002</v>
      </c>
      <c r="D17" s="4"/>
      <c r="E17" s="4">
        <f t="shared" si="7"/>
        <v>6545.24</v>
      </c>
      <c r="F17" s="4">
        <f>VLOOKUP($A17,'CCNL Economico 2022'!$Q$7:$S$37,2,FALSE)</f>
        <v>2350.06</v>
      </c>
      <c r="G17" s="4">
        <f>VLOOKUP($A17,'CCNL Economico 2022'!$A$7:$E$38,5,FALSE)</f>
        <v>0</v>
      </c>
      <c r="H17" s="4">
        <f t="shared" si="2"/>
        <v>2278.38</v>
      </c>
      <c r="I17" s="4">
        <f t="shared" si="3"/>
        <v>31968.940000000002</v>
      </c>
      <c r="J17" s="4">
        <f t="shared" si="8"/>
        <v>9552.3192720000006</v>
      </c>
      <c r="K17" s="4">
        <f t="shared" si="4"/>
        <v>2717</v>
      </c>
      <c r="L17" s="4">
        <f t="shared" si="5"/>
        <v>44238.259272000003</v>
      </c>
      <c r="M17" s="23">
        <f t="shared" si="6"/>
        <v>12269.319272000001</v>
      </c>
      <c r="N17" s="20" t="s">
        <v>9</v>
      </c>
    </row>
    <row r="18" spans="1:14" x14ac:dyDescent="0.2">
      <c r="A18" s="28" t="s">
        <v>10</v>
      </c>
      <c r="B18" s="16">
        <f>VLOOKUP('2019'!$A18,'CCNL Economico 2022'!$A$7:$B$38,2,FALSE)</f>
        <v>26372.28</v>
      </c>
      <c r="C18" s="33">
        <f t="shared" si="0"/>
        <v>19827.04</v>
      </c>
      <c r="D18" s="4"/>
      <c r="E18" s="4">
        <f t="shared" si="7"/>
        <v>6545.24</v>
      </c>
      <c r="F18" s="4">
        <f>VLOOKUP($A18,'CCNL Economico 2022'!$Q$7:$S$37,2,FALSE)</f>
        <v>2350.06</v>
      </c>
      <c r="G18" s="4">
        <f>VLOOKUP($A18,'CCNL Economico 2022'!$A$7:$E$38,5,FALSE)</f>
        <v>0</v>
      </c>
      <c r="H18" s="4">
        <f t="shared" si="2"/>
        <v>2197.69</v>
      </c>
      <c r="I18" s="4">
        <f t="shared" si="3"/>
        <v>30920.03</v>
      </c>
      <c r="J18" s="4">
        <f t="shared" si="8"/>
        <v>9238.9049639999994</v>
      </c>
      <c r="K18" s="4">
        <f t="shared" si="4"/>
        <v>2628</v>
      </c>
      <c r="L18" s="4">
        <f t="shared" si="5"/>
        <v>42786.934964</v>
      </c>
      <c r="M18" s="23">
        <f t="shared" si="6"/>
        <v>11866.904963999999</v>
      </c>
      <c r="N18" s="20" t="s">
        <v>10</v>
      </c>
    </row>
    <row r="19" spans="1:14" s="6" customFormat="1" x14ac:dyDescent="0.2">
      <c r="A19" s="28" t="s">
        <v>11</v>
      </c>
      <c r="B19" s="16">
        <f>VLOOKUP('2019'!$A19,'CCNL Economico 2022'!$A$7:$B$38,2,FALSE)</f>
        <v>25060.73</v>
      </c>
      <c r="C19" s="33">
        <f t="shared" si="0"/>
        <v>18515.489999999998</v>
      </c>
      <c r="D19" s="4"/>
      <c r="E19" s="4">
        <f t="shared" si="7"/>
        <v>6545.24</v>
      </c>
      <c r="F19" s="4">
        <f>VLOOKUP($A19,'CCNL Economico 2022'!$Q$7:$S$37,2,FALSE)</f>
        <v>2350.06</v>
      </c>
      <c r="G19" s="4">
        <f>VLOOKUP($A19,'CCNL Economico 2022'!$A$7:$E$38,5,FALSE)</f>
        <v>0</v>
      </c>
      <c r="H19" s="4">
        <f t="shared" si="2"/>
        <v>2088.39</v>
      </c>
      <c r="I19" s="4">
        <f t="shared" si="3"/>
        <v>29499.18</v>
      </c>
      <c r="J19" s="4">
        <f t="shared" si="8"/>
        <v>8814.3549839999996</v>
      </c>
      <c r="K19" s="4">
        <f t="shared" si="4"/>
        <v>2507</v>
      </c>
      <c r="L19" s="4">
        <f t="shared" si="5"/>
        <v>40820.534983999998</v>
      </c>
      <c r="M19" s="23">
        <f t="shared" si="6"/>
        <v>11321.354984</v>
      </c>
      <c r="N19" s="20" t="s">
        <v>11</v>
      </c>
    </row>
    <row r="20" spans="1:14" s="6" customFormat="1" x14ac:dyDescent="0.2">
      <c r="A20" s="28" t="s">
        <v>12</v>
      </c>
      <c r="B20" s="16">
        <f>VLOOKUP('2019'!$A20,'CCNL Economico 2022'!$A$7:$B$38,2,FALSE)</f>
        <v>23985.759999999998</v>
      </c>
      <c r="C20" s="33">
        <f t="shared" si="0"/>
        <v>17440.519999999997</v>
      </c>
      <c r="D20" s="4"/>
      <c r="E20" s="4">
        <f t="shared" si="7"/>
        <v>6545.24</v>
      </c>
      <c r="F20" s="4">
        <f>VLOOKUP($A20,'CCNL Economico 2022'!$Q$7:$S$37,2,FALSE)</f>
        <v>2350.06</v>
      </c>
      <c r="G20" s="4">
        <f>VLOOKUP($A20,'CCNL Economico 2022'!$A$7:$E$38,5,FALSE)</f>
        <v>84</v>
      </c>
      <c r="H20" s="4">
        <f t="shared" si="2"/>
        <v>1998.81</v>
      </c>
      <c r="I20" s="4">
        <f t="shared" si="3"/>
        <v>28418.63</v>
      </c>
      <c r="J20" s="4">
        <f>+(+I20-G20)*29.88%+G20*24.2%</f>
        <v>8486.7154439999995</v>
      </c>
      <c r="K20" s="4">
        <f t="shared" si="4"/>
        <v>2416</v>
      </c>
      <c r="L20" s="4">
        <f t="shared" si="5"/>
        <v>39321.345443999999</v>
      </c>
      <c r="M20" s="23">
        <f t="shared" si="6"/>
        <v>10902.715443999999</v>
      </c>
      <c r="N20" s="20" t="s">
        <v>12</v>
      </c>
    </row>
    <row r="21" spans="1:14" s="6" customFormat="1" ht="13.5" thickBot="1" x14ac:dyDescent="0.25">
      <c r="A21" s="29" t="s">
        <v>13</v>
      </c>
      <c r="B21" s="36">
        <f>VLOOKUP('2019'!$A21,'CCNL Economico 2022'!$A$7:$B$38,2,FALSE)</f>
        <v>23055.63</v>
      </c>
      <c r="C21" s="35">
        <f t="shared" si="0"/>
        <v>16510.39</v>
      </c>
      <c r="D21" s="5"/>
      <c r="E21" s="5">
        <f t="shared" si="7"/>
        <v>6545.24</v>
      </c>
      <c r="F21" s="5">
        <f>VLOOKUP($A21,'CCNL Economico 2022'!$Q$7:$S$37,2,FALSE)</f>
        <v>2350.06</v>
      </c>
      <c r="G21" s="5">
        <f>VLOOKUP($A21,'CCNL Economico 2022'!$A$7:$E$38,5,FALSE)</f>
        <v>108</v>
      </c>
      <c r="H21" s="5">
        <f t="shared" si="2"/>
        <v>1921.3</v>
      </c>
      <c r="I21" s="5">
        <f t="shared" si="3"/>
        <v>27434.99</v>
      </c>
      <c r="J21" s="5">
        <f t="shared" ref="J21:J36" si="9">+(+I21-G21)*29.88%+G21*24.2%</f>
        <v>8191.4406120000012</v>
      </c>
      <c r="K21" s="5">
        <f t="shared" si="4"/>
        <v>2332</v>
      </c>
      <c r="L21" s="5">
        <f t="shared" si="5"/>
        <v>37958.430612000004</v>
      </c>
      <c r="M21" s="24">
        <f t="shared" si="6"/>
        <v>10523.440612000002</v>
      </c>
      <c r="N21" s="21" t="s">
        <v>13</v>
      </c>
    </row>
    <row r="22" spans="1:14" s="6" customFormat="1" x14ac:dyDescent="0.2">
      <c r="A22" s="26" t="s">
        <v>45</v>
      </c>
      <c r="B22" s="15">
        <f>VLOOKUP('2019'!$A22,'CCNL Economico 2022'!$A$7:$B$38,2,FALSE)</f>
        <v>25126.46</v>
      </c>
      <c r="C22" s="34">
        <f t="shared" si="0"/>
        <v>18676.379999999997</v>
      </c>
      <c r="D22" s="3"/>
      <c r="E22" s="3">
        <f>6450.08</f>
        <v>6450.08</v>
      </c>
      <c r="F22" s="3">
        <f>VLOOKUP($A22,'CCNL Economico 2022'!$Q$7:$S$37,2,FALSE)</f>
        <v>1643.57</v>
      </c>
      <c r="G22" s="3">
        <f>VLOOKUP($A22,'CCNL Economico 2022'!$A$7:$E$38,5,FALSE)</f>
        <v>0</v>
      </c>
      <c r="H22" s="3">
        <f t="shared" si="2"/>
        <v>2093.87</v>
      </c>
      <c r="I22" s="3">
        <f t="shared" si="3"/>
        <v>28863.899999999998</v>
      </c>
      <c r="J22" s="3">
        <f t="shared" si="9"/>
        <v>8624.5333200000005</v>
      </c>
      <c r="K22" s="3">
        <f>ROUND(I22*8.5%,0)</f>
        <v>2453</v>
      </c>
      <c r="L22" s="3">
        <f>I22+J22+K22</f>
        <v>39941.433319999996</v>
      </c>
      <c r="M22" s="22">
        <f>J22+K22</f>
        <v>11077.53332</v>
      </c>
      <c r="N22" s="19" t="str">
        <f>A22</f>
        <v>C8</v>
      </c>
    </row>
    <row r="23" spans="1:14" s="6" customFormat="1" x14ac:dyDescent="0.2">
      <c r="A23" s="27" t="s">
        <v>14</v>
      </c>
      <c r="B23" s="16">
        <f>VLOOKUP('2019'!$A23,'CCNL Economico 2022'!$A$7:$B$38,2,FALSE)</f>
        <v>24326.46</v>
      </c>
      <c r="C23" s="33">
        <f>B23-E23</f>
        <v>17876.379999999997</v>
      </c>
      <c r="D23" s="4"/>
      <c r="E23" s="4">
        <f>6450.08</f>
        <v>6450.08</v>
      </c>
      <c r="F23" s="4">
        <f>VLOOKUP($A23,'CCNL Economico 2022'!$Q$7:$S$37,2,FALSE)</f>
        <v>1643.57</v>
      </c>
      <c r="G23" s="4">
        <f>VLOOKUP($A23,'CCNL Economico 2022'!$A$7:$E$38,5,FALSE)</f>
        <v>60</v>
      </c>
      <c r="H23" s="4">
        <f>ROUND((B23)/12,2)</f>
        <v>2027.21</v>
      </c>
      <c r="I23" s="4">
        <f>B23+D23+G23+H23+F23</f>
        <v>28057.239999999998</v>
      </c>
      <c r="J23" s="4">
        <f t="shared" si="9"/>
        <v>8380.0953119999995</v>
      </c>
      <c r="K23" s="4">
        <f>ROUND(I23*8.5%,0)</f>
        <v>2385</v>
      </c>
      <c r="L23" s="4">
        <f>I23+J23+K23</f>
        <v>38822.335311999996</v>
      </c>
      <c r="M23" s="23">
        <f>J23+K23</f>
        <v>10765.095311999999</v>
      </c>
      <c r="N23" s="20" t="str">
        <f>A23</f>
        <v>C7</v>
      </c>
    </row>
    <row r="24" spans="1:14" s="6" customFormat="1" x14ac:dyDescent="0.2">
      <c r="A24" s="28" t="s">
        <v>15</v>
      </c>
      <c r="B24" s="16">
        <f>VLOOKUP('2019'!$A24,'CCNL Economico 2022'!$A$7:$B$38,2,FALSE)</f>
        <v>23537.16</v>
      </c>
      <c r="C24" s="33">
        <f t="shared" si="0"/>
        <v>17087.080000000002</v>
      </c>
      <c r="D24" s="4"/>
      <c r="E24" s="4">
        <f>6450.08</f>
        <v>6450.08</v>
      </c>
      <c r="F24" s="4">
        <f>VLOOKUP($A24,'CCNL Economico 2022'!$Q$7:$S$37,2,FALSE)</f>
        <v>1643.57</v>
      </c>
      <c r="G24" s="4">
        <f>VLOOKUP($A24,'CCNL Economico 2022'!$A$7:$E$38,5,FALSE)</f>
        <v>96</v>
      </c>
      <c r="H24" s="4">
        <f t="shared" si="2"/>
        <v>1961.43</v>
      </c>
      <c r="I24" s="4">
        <f t="shared" si="3"/>
        <v>27238.16</v>
      </c>
      <c r="J24" s="4">
        <f t="shared" si="9"/>
        <v>8133.3094080000001</v>
      </c>
      <c r="K24" s="4">
        <f>ROUND(I24*8.5%,0)</f>
        <v>2315</v>
      </c>
      <c r="L24" s="4">
        <f>I24+J24+K24</f>
        <v>37686.469407999997</v>
      </c>
      <c r="M24" s="23">
        <f>J24+K24</f>
        <v>10448.309408000001</v>
      </c>
      <c r="N24" s="20" t="str">
        <f>A24</f>
        <v>C6</v>
      </c>
    </row>
    <row r="25" spans="1:14" s="6" customFormat="1" x14ac:dyDescent="0.2">
      <c r="A25" s="28" t="s">
        <v>16</v>
      </c>
      <c r="B25" s="16">
        <f>VLOOKUP('2019'!$A25,'CCNL Economico 2022'!$A$7:$B$38,2,FALSE)</f>
        <v>22776.12</v>
      </c>
      <c r="C25" s="33">
        <f t="shared" si="0"/>
        <v>16326.039999999999</v>
      </c>
      <c r="D25" s="4"/>
      <c r="E25" s="4">
        <f>6450.08</f>
        <v>6450.08</v>
      </c>
      <c r="F25" s="4">
        <f>VLOOKUP($A25,'CCNL Economico 2022'!$Q$7:$S$37,2,FALSE)</f>
        <v>1643.57</v>
      </c>
      <c r="G25" s="4">
        <f>VLOOKUP($A25,'CCNL Economico 2022'!$A$7:$E$38,5,FALSE)</f>
        <v>120</v>
      </c>
      <c r="H25" s="4">
        <f t="shared" si="2"/>
        <v>1898.01</v>
      </c>
      <c r="I25" s="4">
        <f t="shared" si="3"/>
        <v>26437.699999999997</v>
      </c>
      <c r="J25" s="4">
        <f t="shared" si="9"/>
        <v>7892.768759999999</v>
      </c>
      <c r="K25" s="4">
        <f t="shared" si="4"/>
        <v>2247</v>
      </c>
      <c r="L25" s="4">
        <f>I25+J25+K25</f>
        <v>36577.468759999996</v>
      </c>
      <c r="M25" s="23">
        <f t="shared" si="6"/>
        <v>10139.768759999999</v>
      </c>
      <c r="N25" s="20" t="s">
        <v>16</v>
      </c>
    </row>
    <row r="26" spans="1:14" s="6" customFormat="1" x14ac:dyDescent="0.2">
      <c r="A26" s="27" t="s">
        <v>17</v>
      </c>
      <c r="B26" s="16">
        <f>VLOOKUP('2019'!$A26,'CCNL Economico 2022'!$A$7:$B$38,2,FALSE)</f>
        <v>22044.959999999999</v>
      </c>
      <c r="C26" s="33">
        <f t="shared" si="0"/>
        <v>15594.88</v>
      </c>
      <c r="D26" s="4"/>
      <c r="E26" s="4">
        <f>6450.08</f>
        <v>6450.08</v>
      </c>
      <c r="F26" s="4">
        <f>VLOOKUP($A26,'CCNL Economico 2022'!$Q$7:$S$37,2,FALSE)</f>
        <v>1643.57</v>
      </c>
      <c r="G26" s="4">
        <f>VLOOKUP($A26,'CCNL Economico 2022'!$A$7:$E$38,5,FALSE)</f>
        <v>156</v>
      </c>
      <c r="H26" s="4">
        <f t="shared" si="2"/>
        <v>1837.08</v>
      </c>
      <c r="I26" s="4">
        <f t="shared" si="3"/>
        <v>25681.61</v>
      </c>
      <c r="J26" s="4">
        <f t="shared" si="9"/>
        <v>7664.8042680000008</v>
      </c>
      <c r="K26" s="4">
        <f t="shared" si="4"/>
        <v>2183</v>
      </c>
      <c r="L26" s="4">
        <f t="shared" si="5"/>
        <v>35529.414268</v>
      </c>
      <c r="M26" s="23">
        <f t="shared" si="6"/>
        <v>9847.8042679999999</v>
      </c>
      <c r="N26" s="20" t="s">
        <v>17</v>
      </c>
    </row>
    <row r="27" spans="1:14" s="6" customFormat="1" x14ac:dyDescent="0.2">
      <c r="A27" s="28" t="s">
        <v>18</v>
      </c>
      <c r="B27" s="16">
        <f>VLOOKUP('2019'!$A27,'CCNL Economico 2022'!$A$7:$B$38,2,FALSE)</f>
        <v>20935.080000000002</v>
      </c>
      <c r="C27" s="33">
        <f t="shared" si="0"/>
        <v>14562.440000000002</v>
      </c>
      <c r="D27" s="4"/>
      <c r="E27" s="4">
        <f>6372.64</f>
        <v>6372.64</v>
      </c>
      <c r="F27" s="4">
        <f>VLOOKUP($A27,'CCNL Economico 2022'!$Q$7:$S$37,2,FALSE)</f>
        <v>1643.57</v>
      </c>
      <c r="G27" s="4">
        <f>VLOOKUP($A27,'CCNL Economico 2022'!$A$7:$E$38,5,FALSE)</f>
        <v>192</v>
      </c>
      <c r="H27" s="4">
        <f t="shared" si="2"/>
        <v>1744.59</v>
      </c>
      <c r="I27" s="4">
        <f t="shared" si="3"/>
        <v>24515.24</v>
      </c>
      <c r="J27" s="4">
        <f t="shared" si="9"/>
        <v>7314.2481120000002</v>
      </c>
      <c r="K27" s="4">
        <f t="shared" si="4"/>
        <v>2084</v>
      </c>
      <c r="L27" s="4">
        <f t="shared" si="5"/>
        <v>33913.488112000006</v>
      </c>
      <c r="M27" s="23">
        <f t="shared" si="6"/>
        <v>9398.2481120000011</v>
      </c>
      <c r="N27" s="20" t="s">
        <v>18</v>
      </c>
    </row>
    <row r="28" spans="1:14" s="6" customFormat="1" x14ac:dyDescent="0.2">
      <c r="A28" s="28" t="s">
        <v>19</v>
      </c>
      <c r="B28" s="16">
        <f>VLOOKUP('2019'!$A28,'CCNL Economico 2022'!$A$7:$B$38,2,FALSE)</f>
        <v>20102.759999999998</v>
      </c>
      <c r="C28" s="33">
        <f t="shared" si="0"/>
        <v>13730.119999999999</v>
      </c>
      <c r="D28" s="4"/>
      <c r="E28" s="4">
        <f>6372.64</f>
        <v>6372.64</v>
      </c>
      <c r="F28" s="4">
        <f>VLOOKUP($A28,'CCNL Economico 2022'!$Q$7:$S$37,2,FALSE)</f>
        <v>1643.57</v>
      </c>
      <c r="G28" s="4">
        <f>VLOOKUP($A28,'CCNL Economico 2022'!$A$7:$E$38,5,FALSE)</f>
        <v>228</v>
      </c>
      <c r="H28" s="4">
        <f t="shared" si="2"/>
        <v>1675.23</v>
      </c>
      <c r="I28" s="4">
        <f t="shared" si="3"/>
        <v>23649.559999999998</v>
      </c>
      <c r="J28" s="4">
        <f t="shared" si="9"/>
        <v>7053.5381280000001</v>
      </c>
      <c r="K28" s="4">
        <f t="shared" si="4"/>
        <v>2010</v>
      </c>
      <c r="L28" s="4">
        <f t="shared" si="5"/>
        <v>32713.098127999998</v>
      </c>
      <c r="M28" s="23">
        <f t="shared" si="6"/>
        <v>9063.5381280000001</v>
      </c>
      <c r="N28" s="20" t="s">
        <v>19</v>
      </c>
    </row>
    <row r="29" spans="1:14" s="6" customFormat="1" ht="13.5" thickBot="1" x14ac:dyDescent="0.25">
      <c r="A29" s="29" t="s">
        <v>20</v>
      </c>
      <c r="B29" s="36">
        <f>VLOOKUP('2019'!$A29,'CCNL Economico 2022'!$A$7:$B$38,2,FALSE)</f>
        <v>19706.2</v>
      </c>
      <c r="C29" s="35">
        <f t="shared" si="0"/>
        <v>13333.560000000001</v>
      </c>
      <c r="D29" s="5"/>
      <c r="E29" s="5">
        <f>6372.64</f>
        <v>6372.64</v>
      </c>
      <c r="F29" s="5">
        <f>VLOOKUP($A29,'CCNL Economico 2022'!$Q$7:$S$37,2,FALSE)</f>
        <v>1643.57</v>
      </c>
      <c r="G29" s="5">
        <f>VLOOKUP($A29,'CCNL Economico 2022'!$A$7:$E$38,5,FALSE)</f>
        <v>240</v>
      </c>
      <c r="H29" s="5">
        <f t="shared" si="2"/>
        <v>1642.18</v>
      </c>
      <c r="I29" s="5">
        <f t="shared" si="3"/>
        <v>23231.95</v>
      </c>
      <c r="J29" s="5">
        <f t="shared" si="9"/>
        <v>6928.0746600000002</v>
      </c>
      <c r="K29" s="5">
        <f t="shared" si="4"/>
        <v>1975</v>
      </c>
      <c r="L29" s="5">
        <f t="shared" si="5"/>
        <v>32135.024660000003</v>
      </c>
      <c r="M29" s="24">
        <f t="shared" si="6"/>
        <v>8903.0746600000002</v>
      </c>
      <c r="N29" s="21" t="s">
        <v>20</v>
      </c>
    </row>
    <row r="30" spans="1:14" s="6" customFormat="1" x14ac:dyDescent="0.2">
      <c r="A30" s="26" t="s">
        <v>31</v>
      </c>
      <c r="B30" s="15">
        <f>VLOOKUP('2019'!$A30,'CCNL Economico 2022'!$A$7:$B$38,2,FALSE)</f>
        <v>22321.119999999999</v>
      </c>
      <c r="C30" s="34">
        <f t="shared" si="0"/>
        <v>15988.16</v>
      </c>
      <c r="D30" s="3"/>
      <c r="E30" s="3">
        <f>6332.96</f>
        <v>6332.96</v>
      </c>
      <c r="F30" s="3">
        <f>VLOOKUP($A30,'CCNL Economico 2022'!$Q$7:$S$37,2,FALSE)</f>
        <v>1209.06</v>
      </c>
      <c r="G30" s="3">
        <f>VLOOKUP($A30,'CCNL Economico 2022'!$A$7:$E$38,5,FALSE)</f>
        <v>0</v>
      </c>
      <c r="H30" s="3">
        <f t="shared" si="2"/>
        <v>1860.09</v>
      </c>
      <c r="I30" s="3">
        <f t="shared" si="3"/>
        <v>25390.27</v>
      </c>
      <c r="J30" s="3">
        <f t="shared" si="9"/>
        <v>7586.6126760000006</v>
      </c>
      <c r="K30" s="3">
        <f>ROUND(I30*8.5%,0)</f>
        <v>2158</v>
      </c>
      <c r="L30" s="3">
        <f>I30+J30+K30</f>
        <v>35134.882676000001</v>
      </c>
      <c r="M30" s="22">
        <f>J30+K30</f>
        <v>9744.6126760000006</v>
      </c>
      <c r="N30" s="19" t="str">
        <f>A30</f>
        <v>B7</v>
      </c>
    </row>
    <row r="31" spans="1:14" s="6" customFormat="1" ht="12" customHeight="1" x14ac:dyDescent="0.2">
      <c r="A31" s="27" t="s">
        <v>21</v>
      </c>
      <c r="B31" s="16">
        <f>VLOOKUP('2019'!$A31,'CCNL Economico 2022'!$A$7:$B$38,2,FALSE)</f>
        <v>21621.119999999999</v>
      </c>
      <c r="C31" s="33">
        <f>B31-E31</f>
        <v>15288.16</v>
      </c>
      <c r="D31" s="4"/>
      <c r="E31" s="4">
        <f>6332.96</f>
        <v>6332.96</v>
      </c>
      <c r="F31" s="4">
        <f>VLOOKUP($A31,'CCNL Economico 2022'!$Q$7:$S$37,2,FALSE)</f>
        <v>1209.06</v>
      </c>
      <c r="G31" s="4">
        <f>VLOOKUP($A31,'CCNL Economico 2022'!$A$7:$E$38,5,FALSE)</f>
        <v>168</v>
      </c>
      <c r="H31" s="4">
        <f>ROUND((B31)/12,2)</f>
        <v>1801.76</v>
      </c>
      <c r="I31" s="4">
        <f>B31+D31+G31+H31+F31</f>
        <v>24799.94</v>
      </c>
      <c r="J31" s="4">
        <f t="shared" si="9"/>
        <v>7400.6796720000002</v>
      </c>
      <c r="K31" s="4">
        <f>ROUND(I31*8.5%,0)</f>
        <v>2108</v>
      </c>
      <c r="L31" s="4">
        <f>I31+J31+K31</f>
        <v>34308.619672000001</v>
      </c>
      <c r="M31" s="23">
        <f>J31+K31</f>
        <v>9508.6796720000002</v>
      </c>
      <c r="N31" s="20" t="str">
        <f>A31</f>
        <v>B6</v>
      </c>
    </row>
    <row r="32" spans="1:14" s="6" customFormat="1" ht="12" customHeight="1" x14ac:dyDescent="0.2">
      <c r="A32" s="27" t="s">
        <v>22</v>
      </c>
      <c r="B32" s="16">
        <f>VLOOKUP('2019'!$A32,'CCNL Economico 2022'!$A$7:$B$38,2,FALSE)</f>
        <v>20794.02</v>
      </c>
      <c r="C32" s="33">
        <f t="shared" si="0"/>
        <v>14461.060000000001</v>
      </c>
      <c r="D32" s="4"/>
      <c r="E32" s="4">
        <f>6332.96</f>
        <v>6332.96</v>
      </c>
      <c r="F32" s="4">
        <f>VLOOKUP($A32,'CCNL Economico 2022'!$Q$7:$S$37,2,FALSE)</f>
        <v>1209.06</v>
      </c>
      <c r="G32" s="4">
        <f>VLOOKUP($A32,'CCNL Economico 2022'!$A$7:$E$38,5,FALSE)</f>
        <v>204</v>
      </c>
      <c r="H32" s="4">
        <f t="shared" si="2"/>
        <v>1732.84</v>
      </c>
      <c r="I32" s="4">
        <f t="shared" si="3"/>
        <v>23939.920000000002</v>
      </c>
      <c r="J32" s="4">
        <f t="shared" si="9"/>
        <v>7141.6608960000012</v>
      </c>
      <c r="K32" s="4">
        <f>ROUND(I32*8.5%,0)</f>
        <v>2035</v>
      </c>
      <c r="L32" s="4">
        <f>I32+J32+K32</f>
        <v>33116.580895999999</v>
      </c>
      <c r="M32" s="23">
        <f>J32+K32</f>
        <v>9176.6608960000012</v>
      </c>
      <c r="N32" s="20" t="str">
        <f>A32</f>
        <v>B5</v>
      </c>
    </row>
    <row r="33" spans="1:14" s="6" customFormat="1" x14ac:dyDescent="0.2">
      <c r="A33" s="27" t="s">
        <v>23</v>
      </c>
      <c r="B33" s="16">
        <f>VLOOKUP('2019'!$A33,'CCNL Economico 2022'!$A$7:$B$38,2,FALSE)</f>
        <v>20001.64</v>
      </c>
      <c r="C33" s="33">
        <f t="shared" si="0"/>
        <v>13668.68</v>
      </c>
      <c r="D33" s="4"/>
      <c r="E33" s="4">
        <f>6332.96</f>
        <v>6332.96</v>
      </c>
      <c r="F33" s="4">
        <f>VLOOKUP($A33,'CCNL Economico 2022'!$Q$7:$S$37,2,FALSE)</f>
        <v>1209.06</v>
      </c>
      <c r="G33" s="4">
        <f>VLOOKUP($A33,'CCNL Economico 2022'!$A$7:$E$38,5,FALSE)</f>
        <v>228</v>
      </c>
      <c r="H33" s="4">
        <f t="shared" si="2"/>
        <v>1666.8</v>
      </c>
      <c r="I33" s="4">
        <f t="shared" si="3"/>
        <v>23105.5</v>
      </c>
      <c r="J33" s="4">
        <f t="shared" si="9"/>
        <v>6890.9730000000009</v>
      </c>
      <c r="K33" s="4">
        <f t="shared" si="4"/>
        <v>1964</v>
      </c>
      <c r="L33" s="4">
        <f t="shared" si="5"/>
        <v>31960.473000000002</v>
      </c>
      <c r="M33" s="23">
        <f t="shared" si="6"/>
        <v>8854.9730000000018</v>
      </c>
      <c r="N33" s="20" t="s">
        <v>23</v>
      </c>
    </row>
    <row r="34" spans="1:14" s="6" customFormat="1" x14ac:dyDescent="0.2">
      <c r="A34" s="30" t="s">
        <v>24</v>
      </c>
      <c r="B34" s="16">
        <f>VLOOKUP('2019'!$A34,'CCNL Economico 2022'!$A$7:$B$38,2,FALSE)</f>
        <v>19124.23</v>
      </c>
      <c r="C34" s="33">
        <f t="shared" si="0"/>
        <v>12791.27</v>
      </c>
      <c r="D34" s="4"/>
      <c r="E34" s="4">
        <f>6332.96</f>
        <v>6332.96</v>
      </c>
      <c r="F34" s="4">
        <f>VLOOKUP($A34,'CCNL Economico 2022'!$Q$7:$S$37,2,FALSE)</f>
        <v>1209.06</v>
      </c>
      <c r="G34" s="4">
        <f>VLOOKUP($A34,'CCNL Economico 2022'!$A$7:$E$38,5,FALSE)</f>
        <v>264</v>
      </c>
      <c r="H34" s="4">
        <f t="shared" si="2"/>
        <v>1593.69</v>
      </c>
      <c r="I34" s="4">
        <f t="shared" si="3"/>
        <v>22190.98</v>
      </c>
      <c r="J34" s="4">
        <f t="shared" si="9"/>
        <v>6615.6696240000001</v>
      </c>
      <c r="K34" s="4">
        <f t="shared" si="4"/>
        <v>1886</v>
      </c>
      <c r="L34" s="4">
        <f t="shared" si="5"/>
        <v>30692.649623999998</v>
      </c>
      <c r="M34" s="23">
        <f t="shared" si="6"/>
        <v>8501.6696240000001</v>
      </c>
      <c r="N34" s="20" t="s">
        <v>24</v>
      </c>
    </row>
    <row r="35" spans="1:14" s="6" customFormat="1" x14ac:dyDescent="0.2">
      <c r="A35" s="27" t="s">
        <v>25</v>
      </c>
      <c r="B35" s="16">
        <f>VLOOKUP('2019'!$A35,'CCNL Economico 2022'!$A$7:$B$38,2,FALSE)</f>
        <v>18287.349999999999</v>
      </c>
      <c r="C35" s="33">
        <f t="shared" si="0"/>
        <v>11996.21</v>
      </c>
      <c r="D35" s="4"/>
      <c r="E35" s="4">
        <f>6291.14</f>
        <v>6291.14</v>
      </c>
      <c r="F35" s="4">
        <f>VLOOKUP($A35,'CCNL Economico 2022'!$Q$7:$S$37,2,FALSE)</f>
        <v>1209.06</v>
      </c>
      <c r="G35" s="4">
        <f>VLOOKUP($A35,'CCNL Economico 2022'!$A$7:$E$38,5,FALSE)</f>
        <v>300</v>
      </c>
      <c r="H35" s="4">
        <f t="shared" si="2"/>
        <v>1523.95</v>
      </c>
      <c r="I35" s="4">
        <f t="shared" si="3"/>
        <v>21320.36</v>
      </c>
      <c r="J35" s="4">
        <f t="shared" si="9"/>
        <v>6353.4835680000006</v>
      </c>
      <c r="K35" s="4">
        <f t="shared" si="4"/>
        <v>1812</v>
      </c>
      <c r="L35" s="4">
        <f t="shared" si="5"/>
        <v>29485.843568</v>
      </c>
      <c r="M35" s="23">
        <f t="shared" si="6"/>
        <v>8165.4835680000006</v>
      </c>
      <c r="N35" s="20" t="s">
        <v>25</v>
      </c>
    </row>
    <row r="36" spans="1:14" s="6" customFormat="1" ht="13.5" thickBot="1" x14ac:dyDescent="0.25">
      <c r="A36" s="31" t="s">
        <v>26</v>
      </c>
      <c r="B36" s="17">
        <f>VLOOKUP('2019'!$A36,'CCNL Economico 2022'!$A$7:$B$38,2,FALSE)</f>
        <v>17167.7</v>
      </c>
      <c r="C36" s="35">
        <f t="shared" si="0"/>
        <v>10931.18</v>
      </c>
      <c r="D36" s="5"/>
      <c r="E36" s="5">
        <f>6236.52</f>
        <v>6236.52</v>
      </c>
      <c r="F36" s="5">
        <f>VLOOKUP($A36,'CCNL Economico 2022'!$Q$7:$S$37,2,FALSE)</f>
        <v>1209.06</v>
      </c>
      <c r="G36" s="5">
        <f>VLOOKUP($A36,'CCNL Economico 2022'!$A$7:$E$38,5,FALSE)</f>
        <v>336</v>
      </c>
      <c r="H36" s="5">
        <f t="shared" si="2"/>
        <v>1430.64</v>
      </c>
      <c r="I36" s="5">
        <f t="shared" si="3"/>
        <v>20143.400000000001</v>
      </c>
      <c r="J36" s="5">
        <f t="shared" si="9"/>
        <v>5999.7631200000005</v>
      </c>
      <c r="K36" s="5">
        <f t="shared" si="4"/>
        <v>1712</v>
      </c>
      <c r="L36" s="5">
        <f t="shared" si="5"/>
        <v>27855.163120000001</v>
      </c>
      <c r="M36" s="24">
        <f t="shared" si="6"/>
        <v>7711.7631200000005</v>
      </c>
      <c r="N36" s="21" t="s">
        <v>26</v>
      </c>
    </row>
    <row r="39" spans="1:14" s="6" customFormat="1" x14ac:dyDescent="0.2">
      <c r="G39" s="18"/>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9788-C7CD-4A6D-BAE0-F39CABA7EF51}">
  <dimension ref="A1:AA46"/>
  <sheetViews>
    <sheetView zoomScaleNormal="100" workbookViewId="0">
      <selection activeCell="G35" sqref="G35"/>
    </sheetView>
  </sheetViews>
  <sheetFormatPr defaultRowHeight="12.75" x14ac:dyDescent="0.2"/>
  <cols>
    <col min="1" max="1" width="20.140625" style="9" customWidth="1"/>
    <col min="2" max="2" width="13.5703125" style="6" bestFit="1" customWidth="1"/>
    <col min="3" max="5" width="11.42578125" style="6" customWidth="1"/>
    <col min="6" max="6" width="10.140625" style="6" bestFit="1" customWidth="1"/>
    <col min="7" max="7" width="10.28515625" style="6" customWidth="1"/>
    <col min="8" max="8" width="9.42578125" style="6" bestFit="1" customWidth="1"/>
    <col min="9" max="9" width="9.42578125" style="6" customWidth="1"/>
    <col min="10" max="13" width="11.5703125" style="6" customWidth="1"/>
    <col min="14" max="14" width="10.85546875" style="6" customWidth="1"/>
    <col min="15" max="15" width="10.7109375" style="6" customWidth="1"/>
    <col min="16" max="16" width="12" style="6" customWidth="1"/>
    <col min="17" max="18" width="10.7109375" style="6" customWidth="1"/>
    <col min="19" max="19" width="14.42578125" style="6" customWidth="1"/>
    <col min="20" max="20" width="13.85546875" style="6" customWidth="1"/>
    <col min="21" max="16384" width="9.140625" style="9"/>
  </cols>
  <sheetData>
    <row r="1" spans="1:27" ht="18.75" x14ac:dyDescent="0.2">
      <c r="A1" s="2" t="s">
        <v>214</v>
      </c>
      <c r="B1" s="2"/>
    </row>
    <row r="2" spans="1:27" x14ac:dyDescent="0.2">
      <c r="A2" s="10" t="s">
        <v>218</v>
      </c>
      <c r="B2" s="10"/>
      <c r="C2" s="10"/>
      <c r="D2" s="10"/>
      <c r="E2" s="10"/>
      <c r="G2" s="10"/>
      <c r="J2" s="10"/>
      <c r="K2" s="10"/>
      <c r="L2" s="10"/>
      <c r="M2" s="10"/>
    </row>
    <row r="3" spans="1:27" ht="13.5" thickBot="1" x14ac:dyDescent="0.25">
      <c r="B3" s="11"/>
      <c r="X3" s="14" t="s">
        <v>200</v>
      </c>
      <c r="Y3" s="98" t="s">
        <v>79</v>
      </c>
      <c r="Z3" s="88" t="s">
        <v>206</v>
      </c>
    </row>
    <row r="4" spans="1:27" s="127" customFormat="1" ht="64.5" thickBot="1" x14ac:dyDescent="0.25">
      <c r="A4" s="122" t="s">
        <v>165</v>
      </c>
      <c r="B4" s="123"/>
      <c r="C4" s="276" t="s">
        <v>166</v>
      </c>
      <c r="D4" s="124" t="s">
        <v>196</v>
      </c>
      <c r="E4" s="276" t="s">
        <v>209</v>
      </c>
      <c r="F4" s="123" t="s">
        <v>35</v>
      </c>
      <c r="G4" s="123" t="s">
        <v>33</v>
      </c>
      <c r="H4" s="278" t="s">
        <v>42</v>
      </c>
      <c r="I4" s="123" t="s">
        <v>197</v>
      </c>
      <c r="J4" s="123" t="s">
        <v>36</v>
      </c>
      <c r="K4" s="123" t="s">
        <v>198</v>
      </c>
      <c r="L4" s="123" t="s">
        <v>199</v>
      </c>
      <c r="M4" s="123"/>
      <c r="N4" s="123" t="s">
        <v>32</v>
      </c>
      <c r="O4" s="123" t="s">
        <v>37</v>
      </c>
      <c r="P4" s="123" t="s">
        <v>38</v>
      </c>
      <c r="Q4" s="123" t="s">
        <v>39</v>
      </c>
      <c r="R4" s="125" t="s">
        <v>40</v>
      </c>
      <c r="S4" s="126" t="s">
        <v>165</v>
      </c>
      <c r="X4" s="128" t="s">
        <v>33</v>
      </c>
      <c r="Y4" s="129">
        <v>0.34239999999999998</v>
      </c>
      <c r="Z4" s="283">
        <v>0.29880000000000001</v>
      </c>
    </row>
    <row r="5" spans="1:27" ht="25.5" customHeight="1" x14ac:dyDescent="0.2">
      <c r="A5" s="310" t="s">
        <v>164</v>
      </c>
      <c r="B5" s="99" t="s">
        <v>168</v>
      </c>
      <c r="C5" s="316">
        <v>28693.65</v>
      </c>
      <c r="D5" s="137">
        <v>11018.27</v>
      </c>
      <c r="E5" s="137"/>
      <c r="F5" s="138">
        <f>6818.23</f>
        <v>6818.23</v>
      </c>
      <c r="G5" s="138">
        <f>$C$5+D5+E5-F5</f>
        <v>32893.69</v>
      </c>
      <c r="H5" s="299">
        <v>3577.2</v>
      </c>
      <c r="I5" s="139">
        <v>912.37000000000035</v>
      </c>
      <c r="J5" s="299">
        <v>3099</v>
      </c>
      <c r="K5" s="299">
        <f>ROUND((C5)/12,2)</f>
        <v>2391.14</v>
      </c>
      <c r="L5" s="140">
        <f>ROUND((D5+E5)/12,2)</f>
        <v>918.19</v>
      </c>
      <c r="M5" s="137"/>
      <c r="N5" s="138">
        <f t="shared" ref="N5:N12" si="0">$C$5+D5+E5+$H$5+I5+$J$5+$K$5+L5</f>
        <v>50609.82</v>
      </c>
      <c r="O5" s="138">
        <f>ROUND(G5*$Y$4+$J$5*$Y$5+($H$5+I5)*$Y$6+($K$5+L5)*$Y$7+F5*$Y$8,2)</f>
        <v>16380.36</v>
      </c>
      <c r="P5" s="138">
        <f>ROUND(N5*8.5%,0)</f>
        <v>4302</v>
      </c>
      <c r="Q5" s="138">
        <f>N5+O5+P5</f>
        <v>71292.179999999993</v>
      </c>
      <c r="R5" s="141">
        <f>O5+P5</f>
        <v>20682.36</v>
      </c>
      <c r="S5" s="287" t="s">
        <v>164</v>
      </c>
      <c r="T5" s="84" t="s">
        <v>168</v>
      </c>
      <c r="U5" s="6">
        <f>Q5-'da genn a aprile 2024'!L5</f>
        <v>0</v>
      </c>
      <c r="X5" s="96" t="s">
        <v>201</v>
      </c>
      <c r="Y5" s="97">
        <v>0.24199999999999999</v>
      </c>
      <c r="Z5" s="283"/>
      <c r="AA5" s="88" t="s">
        <v>207</v>
      </c>
    </row>
    <row r="6" spans="1:27" x14ac:dyDescent="0.2">
      <c r="A6" s="311"/>
      <c r="B6" s="92" t="s">
        <v>169</v>
      </c>
      <c r="C6" s="308"/>
      <c r="D6" s="142">
        <v>9918.27</v>
      </c>
      <c r="E6" s="142"/>
      <c r="F6" s="143">
        <f>6818.23</f>
        <v>6818.23</v>
      </c>
      <c r="G6" s="143">
        <f t="shared" ref="G6:G12" si="1">$C$5+D6+E6-F6</f>
        <v>31793.69</v>
      </c>
      <c r="H6" s="300"/>
      <c r="I6" s="144">
        <v>912.37000000000035</v>
      </c>
      <c r="J6" s="300"/>
      <c r="K6" s="300"/>
      <c r="L6" s="145">
        <f t="shared" ref="L6:L32" si="2">ROUND((D6+E6)/12,2)</f>
        <v>826.52</v>
      </c>
      <c r="M6" s="142"/>
      <c r="N6" s="143">
        <f t="shared" si="0"/>
        <v>49418.149999999994</v>
      </c>
      <c r="O6" s="143">
        <f t="shared" ref="O6:O12" si="3">ROUND(G6*$Y$4+$J$5*$Y$5+($H$5+I6)*$Y$6+($K$5+L6)*$Y$7+F6*$Y$8,2)</f>
        <v>15976.32</v>
      </c>
      <c r="P6" s="143">
        <f t="shared" ref="P6:P12" si="4">ROUND(N6*8.5%,0)</f>
        <v>4201</v>
      </c>
      <c r="Q6" s="143">
        <f t="shared" ref="Q6:Q12" si="5">N6+O6+P6</f>
        <v>69595.47</v>
      </c>
      <c r="R6" s="146">
        <f>O6+P6</f>
        <v>20177.32</v>
      </c>
      <c r="S6" s="288"/>
      <c r="T6" s="84" t="s">
        <v>169</v>
      </c>
      <c r="U6" s="6">
        <f>Q6-'da genn a aprile 2024'!L6</f>
        <v>-1.0000000009313226E-2</v>
      </c>
      <c r="V6" s="6"/>
      <c r="W6" s="6"/>
      <c r="X6" s="96" t="s">
        <v>203</v>
      </c>
      <c r="Y6" s="97">
        <v>0.29880000000000001</v>
      </c>
      <c r="Z6" s="283"/>
    </row>
    <row r="7" spans="1:27" x14ac:dyDescent="0.2">
      <c r="A7" s="311"/>
      <c r="B7" s="4" t="s">
        <v>170</v>
      </c>
      <c r="C7" s="308"/>
      <c r="D7" s="142">
        <v>8508.8999999999978</v>
      </c>
      <c r="E7" s="142"/>
      <c r="F7" s="143">
        <f>6818.23</f>
        <v>6818.23</v>
      </c>
      <c r="G7" s="143">
        <f t="shared" si="1"/>
        <v>30384.320000000003</v>
      </c>
      <c r="H7" s="300"/>
      <c r="I7" s="144">
        <v>912.37000000000035</v>
      </c>
      <c r="J7" s="300"/>
      <c r="K7" s="300"/>
      <c r="L7" s="145">
        <f t="shared" si="2"/>
        <v>709.08</v>
      </c>
      <c r="M7" s="142"/>
      <c r="N7" s="143">
        <f t="shared" si="0"/>
        <v>47891.340000000004</v>
      </c>
      <c r="O7" s="143">
        <f t="shared" si="3"/>
        <v>15458.67</v>
      </c>
      <c r="P7" s="143">
        <f t="shared" si="4"/>
        <v>4071</v>
      </c>
      <c r="Q7" s="143">
        <f t="shared" si="5"/>
        <v>67421.010000000009</v>
      </c>
      <c r="R7" s="146">
        <f>O7+P7</f>
        <v>19529.669999999998</v>
      </c>
      <c r="S7" s="288"/>
      <c r="T7" s="6" t="s">
        <v>170</v>
      </c>
      <c r="U7" s="6">
        <f>Q7-'da genn a aprile 2024'!L7</f>
        <v>2.0000000018626451E-2</v>
      </c>
      <c r="X7" s="96" t="s">
        <v>202</v>
      </c>
      <c r="Y7" s="97">
        <v>0.29880000000000001</v>
      </c>
      <c r="Z7" s="283"/>
    </row>
    <row r="8" spans="1:27" x14ac:dyDescent="0.2">
      <c r="A8" s="311"/>
      <c r="B8" s="4" t="s">
        <v>171</v>
      </c>
      <c r="C8" s="308"/>
      <c r="D8" s="142">
        <v>7159.0000000000036</v>
      </c>
      <c r="E8" s="142"/>
      <c r="F8" s="143">
        <f>6818.23</f>
        <v>6818.23</v>
      </c>
      <c r="G8" s="143">
        <f t="shared" si="1"/>
        <v>29034.420000000009</v>
      </c>
      <c r="H8" s="300"/>
      <c r="I8" s="144">
        <v>912.37000000000035</v>
      </c>
      <c r="J8" s="300"/>
      <c r="K8" s="300"/>
      <c r="L8" s="145">
        <f t="shared" si="2"/>
        <v>596.58000000000004</v>
      </c>
      <c r="M8" s="142"/>
      <c r="N8" s="143">
        <f t="shared" si="0"/>
        <v>46428.94000000001</v>
      </c>
      <c r="O8" s="143">
        <f t="shared" si="3"/>
        <v>14962.84</v>
      </c>
      <c r="P8" s="143">
        <f t="shared" si="4"/>
        <v>3946</v>
      </c>
      <c r="Q8" s="143">
        <f t="shared" si="5"/>
        <v>65337.780000000013</v>
      </c>
      <c r="R8" s="146">
        <f t="shared" ref="R8:R32" si="6">O8+P8</f>
        <v>18908.84</v>
      </c>
      <c r="S8" s="288"/>
      <c r="T8" s="6" t="s">
        <v>171</v>
      </c>
      <c r="U8" s="6">
        <f>Q8-'da genn a aprile 2024'!L8</f>
        <v>0</v>
      </c>
      <c r="X8" s="96" t="s">
        <v>204</v>
      </c>
      <c r="Y8" s="97">
        <v>0.29880000000000001</v>
      </c>
      <c r="Z8" s="283"/>
    </row>
    <row r="9" spans="1:27" x14ac:dyDescent="0.2">
      <c r="A9" s="311"/>
      <c r="B9" s="92" t="s">
        <v>172</v>
      </c>
      <c r="C9" s="308"/>
      <c r="D9" s="142">
        <v>5702.619999999999</v>
      </c>
      <c r="E9" s="142"/>
      <c r="F9" s="143">
        <f>6818.23</f>
        <v>6818.23</v>
      </c>
      <c r="G9" s="143">
        <f t="shared" si="1"/>
        <v>27578.040000000005</v>
      </c>
      <c r="H9" s="300"/>
      <c r="I9" s="144">
        <v>912.37000000000035</v>
      </c>
      <c r="J9" s="300"/>
      <c r="K9" s="300"/>
      <c r="L9" s="145">
        <f t="shared" si="2"/>
        <v>475.22</v>
      </c>
      <c r="M9" s="142"/>
      <c r="N9" s="143">
        <f t="shared" si="0"/>
        <v>44851.200000000004</v>
      </c>
      <c r="O9" s="143">
        <f t="shared" si="3"/>
        <v>14427.92</v>
      </c>
      <c r="P9" s="143">
        <f t="shared" si="4"/>
        <v>3812</v>
      </c>
      <c r="Q9" s="143">
        <f t="shared" si="5"/>
        <v>63091.12</v>
      </c>
      <c r="R9" s="146">
        <f t="shared" si="6"/>
        <v>18239.919999999998</v>
      </c>
      <c r="S9" s="288"/>
      <c r="T9" s="84" t="s">
        <v>172</v>
      </c>
      <c r="U9" s="6">
        <f>Q9-'da genn a aprile 2024'!L9</f>
        <v>0</v>
      </c>
      <c r="X9" s="96" t="s">
        <v>205</v>
      </c>
      <c r="Y9" s="97">
        <v>8.5000000000000006E-2</v>
      </c>
      <c r="Z9" s="97">
        <v>8.5000000000000006E-2</v>
      </c>
    </row>
    <row r="10" spans="1:27" x14ac:dyDescent="0.2">
      <c r="A10" s="311"/>
      <c r="B10" s="4" t="s">
        <v>173</v>
      </c>
      <c r="C10" s="308"/>
      <c r="D10" s="142">
        <v>3318.7299999999996</v>
      </c>
      <c r="E10" s="142"/>
      <c r="F10" s="143">
        <f>6682.26</f>
        <v>6682.26</v>
      </c>
      <c r="G10" s="143">
        <f t="shared" si="1"/>
        <v>25330.120000000003</v>
      </c>
      <c r="H10" s="300"/>
      <c r="I10" s="147"/>
      <c r="J10" s="308"/>
      <c r="K10" s="300"/>
      <c r="L10" s="145">
        <f t="shared" si="2"/>
        <v>276.56</v>
      </c>
      <c r="M10" s="142"/>
      <c r="N10" s="143">
        <f t="shared" si="0"/>
        <v>41356.28</v>
      </c>
      <c r="O10" s="143">
        <f t="shared" si="3"/>
        <v>13285.63</v>
      </c>
      <c r="P10" s="143">
        <f t="shared" si="4"/>
        <v>3515</v>
      </c>
      <c r="Q10" s="143">
        <f t="shared" si="5"/>
        <v>58156.909999999996</v>
      </c>
      <c r="R10" s="146">
        <f t="shared" si="6"/>
        <v>16800.629999999997</v>
      </c>
      <c r="S10" s="288"/>
      <c r="T10" s="6" t="s">
        <v>173</v>
      </c>
      <c r="U10" s="6">
        <f>Q10-'da genn a aprile 2024'!L10</f>
        <v>0</v>
      </c>
    </row>
    <row r="11" spans="1:27" x14ac:dyDescent="0.2">
      <c r="A11" s="311"/>
      <c r="B11" s="4" t="s">
        <v>174</v>
      </c>
      <c r="C11" s="308"/>
      <c r="D11" s="142">
        <v>1703.3899999999994</v>
      </c>
      <c r="E11" s="142"/>
      <c r="F11" s="143">
        <f>6682.26</f>
        <v>6682.26</v>
      </c>
      <c r="G11" s="143">
        <f t="shared" si="1"/>
        <v>23714.78</v>
      </c>
      <c r="H11" s="300"/>
      <c r="I11" s="147"/>
      <c r="J11" s="308"/>
      <c r="K11" s="300"/>
      <c r="L11" s="145">
        <f t="shared" si="2"/>
        <v>141.94999999999999</v>
      </c>
      <c r="M11" s="142"/>
      <c r="N11" s="143">
        <f t="shared" si="0"/>
        <v>39606.329999999994</v>
      </c>
      <c r="O11" s="143">
        <f t="shared" si="3"/>
        <v>12692.31</v>
      </c>
      <c r="P11" s="143">
        <f t="shared" si="4"/>
        <v>3367</v>
      </c>
      <c r="Q11" s="143">
        <f t="shared" si="5"/>
        <v>55665.639999999992</v>
      </c>
      <c r="R11" s="146">
        <f t="shared" si="6"/>
        <v>16059.31</v>
      </c>
      <c r="S11" s="288"/>
      <c r="T11" s="6" t="s">
        <v>174</v>
      </c>
      <c r="U11" s="6">
        <f>Q11-'da genn a aprile 2024'!L11</f>
        <v>0</v>
      </c>
    </row>
    <row r="12" spans="1:27" ht="13.5" thickBot="1" x14ac:dyDescent="0.25">
      <c r="A12" s="312"/>
      <c r="B12" s="100" t="s">
        <v>175</v>
      </c>
      <c r="C12" s="309"/>
      <c r="D12" s="148">
        <v>0</v>
      </c>
      <c r="E12" s="148"/>
      <c r="F12" s="149">
        <f>6682.26</f>
        <v>6682.26</v>
      </c>
      <c r="G12" s="149">
        <f t="shared" si="1"/>
        <v>22011.39</v>
      </c>
      <c r="H12" s="301"/>
      <c r="I12" s="150"/>
      <c r="J12" s="309"/>
      <c r="K12" s="301"/>
      <c r="L12" s="151">
        <f t="shared" si="2"/>
        <v>0</v>
      </c>
      <c r="M12" s="148"/>
      <c r="N12" s="149">
        <f t="shared" si="0"/>
        <v>37760.990000000005</v>
      </c>
      <c r="O12" s="149">
        <f t="shared" si="3"/>
        <v>12066.66</v>
      </c>
      <c r="P12" s="149">
        <f t="shared" si="4"/>
        <v>3210</v>
      </c>
      <c r="Q12" s="149">
        <f t="shared" si="5"/>
        <v>53037.650000000009</v>
      </c>
      <c r="R12" s="152">
        <f t="shared" si="6"/>
        <v>15276.66</v>
      </c>
      <c r="S12" s="289"/>
      <c r="T12" s="11" t="s">
        <v>175</v>
      </c>
      <c r="U12" s="6">
        <f>Q12-'da genn a aprile 2024'!L12</f>
        <v>0</v>
      </c>
    </row>
    <row r="13" spans="1:27" x14ac:dyDescent="0.2">
      <c r="A13" s="310" t="s">
        <v>163</v>
      </c>
      <c r="B13" s="99" t="s">
        <v>176</v>
      </c>
      <c r="C13" s="317">
        <v>25505.79</v>
      </c>
      <c r="D13" s="153">
        <v>7159.59</v>
      </c>
      <c r="E13" s="153"/>
      <c r="F13" s="154">
        <f>6545.24</f>
        <v>6545.24</v>
      </c>
      <c r="G13" s="154">
        <f>$C$13+D13+E13-F13</f>
        <v>26120.14</v>
      </c>
      <c r="H13" s="302">
        <v>3026.46</v>
      </c>
      <c r="I13" s="155"/>
      <c r="J13" s="156"/>
      <c r="K13" s="302">
        <f>ROUND((C13)/12,2)</f>
        <v>2125.48</v>
      </c>
      <c r="L13" s="157">
        <f t="shared" si="2"/>
        <v>596.63</v>
      </c>
      <c r="M13" s="154"/>
      <c r="N13" s="154">
        <f>$C$13+D13+E13+$H$13+I13+$J$13+$K$13+L13</f>
        <v>38413.950000000004</v>
      </c>
      <c r="O13" s="154">
        <f>ROUND((N13)*$Z$4,2)</f>
        <v>11478.09</v>
      </c>
      <c r="P13" s="154">
        <f>ROUND(N13*8.5%,0)</f>
        <v>3265</v>
      </c>
      <c r="Q13" s="154">
        <f>N13+O13+P13</f>
        <v>53157.040000000008</v>
      </c>
      <c r="R13" s="158">
        <f>O13+P13</f>
        <v>14743.09</v>
      </c>
      <c r="S13" s="290" t="s">
        <v>163</v>
      </c>
      <c r="T13" s="84" t="s">
        <v>176</v>
      </c>
      <c r="U13" s="6">
        <f>Q13-'da genn a aprile 2024'!L13</f>
        <v>-9.9999999947613105E-3</v>
      </c>
    </row>
    <row r="14" spans="1:27" x14ac:dyDescent="0.2">
      <c r="A14" s="311"/>
      <c r="B14" s="92" t="s">
        <v>177</v>
      </c>
      <c r="C14" s="318"/>
      <c r="D14" s="159">
        <v>6259.59</v>
      </c>
      <c r="E14" s="159"/>
      <c r="F14" s="160">
        <f t="shared" ref="F14:F20" si="7">6545.24</f>
        <v>6545.24</v>
      </c>
      <c r="G14" s="160">
        <f t="shared" ref="G14:G20" si="8">$C$13+D14+E14-F14</f>
        <v>25220.14</v>
      </c>
      <c r="H14" s="303"/>
      <c r="I14" s="161"/>
      <c r="J14" s="162"/>
      <c r="K14" s="303"/>
      <c r="L14" s="163">
        <f t="shared" si="2"/>
        <v>521.63</v>
      </c>
      <c r="M14" s="160"/>
      <c r="N14" s="160">
        <f t="shared" ref="N14:N20" si="9">$C$13+D14+E14+$H$13+I14+$J$13+$K$13+L14</f>
        <v>37438.950000000004</v>
      </c>
      <c r="O14" s="160">
        <f t="shared" ref="O14:O32" si="10">ROUND((N14)*$Z$4,2)</f>
        <v>11186.76</v>
      </c>
      <c r="P14" s="160">
        <f>ROUND(N14*8.5%,0)</f>
        <v>3182</v>
      </c>
      <c r="Q14" s="160">
        <f>N14+O14+P14</f>
        <v>51807.710000000006</v>
      </c>
      <c r="R14" s="164">
        <f>O14+P14</f>
        <v>14368.76</v>
      </c>
      <c r="S14" s="291"/>
      <c r="T14" s="84" t="s">
        <v>177</v>
      </c>
      <c r="U14" s="6">
        <f>Q14-'da genn a aprile 2024'!L14</f>
        <v>-9.9999999947613105E-3</v>
      </c>
    </row>
    <row r="15" spans="1:27" x14ac:dyDescent="0.2">
      <c r="A15" s="311"/>
      <c r="B15" s="4" t="s">
        <v>178</v>
      </c>
      <c r="C15" s="318"/>
      <c r="D15" s="159">
        <v>5203.2099999999991</v>
      </c>
      <c r="E15" s="159"/>
      <c r="F15" s="160">
        <f t="shared" si="7"/>
        <v>6545.24</v>
      </c>
      <c r="G15" s="160">
        <f t="shared" si="8"/>
        <v>24163.760000000002</v>
      </c>
      <c r="H15" s="303"/>
      <c r="I15" s="161"/>
      <c r="J15" s="162"/>
      <c r="K15" s="303"/>
      <c r="L15" s="163">
        <f t="shared" si="2"/>
        <v>433.6</v>
      </c>
      <c r="M15" s="160"/>
      <c r="N15" s="160">
        <f t="shared" si="9"/>
        <v>36294.54</v>
      </c>
      <c r="O15" s="160">
        <f t="shared" si="10"/>
        <v>10844.81</v>
      </c>
      <c r="P15" s="160">
        <f>ROUND(N15*8.5%,0)</f>
        <v>3085</v>
      </c>
      <c r="Q15" s="160">
        <f>N15+O15+P15</f>
        <v>50224.35</v>
      </c>
      <c r="R15" s="164">
        <f>O15+P15</f>
        <v>13929.81</v>
      </c>
      <c r="S15" s="291"/>
      <c r="T15" s="6" t="s">
        <v>178</v>
      </c>
      <c r="U15" s="6">
        <f>Q15-'da genn a aprile 2024'!L15</f>
        <v>0</v>
      </c>
    </row>
    <row r="16" spans="1:27" x14ac:dyDescent="0.2">
      <c r="A16" s="311"/>
      <c r="B16" s="4" t="s">
        <v>179</v>
      </c>
      <c r="C16" s="318"/>
      <c r="D16" s="159">
        <v>4189.2299999999996</v>
      </c>
      <c r="E16" s="159"/>
      <c r="F16" s="160">
        <f t="shared" si="7"/>
        <v>6545.24</v>
      </c>
      <c r="G16" s="160">
        <f>$C$13+D16+E16-F16</f>
        <v>23149.78</v>
      </c>
      <c r="H16" s="303"/>
      <c r="I16" s="161"/>
      <c r="J16" s="162"/>
      <c r="K16" s="303"/>
      <c r="L16" s="163">
        <f t="shared" si="2"/>
        <v>349.1</v>
      </c>
      <c r="M16" s="160"/>
      <c r="N16" s="160">
        <f t="shared" si="9"/>
        <v>35196.06</v>
      </c>
      <c r="O16" s="160">
        <f t="shared" si="10"/>
        <v>10516.58</v>
      </c>
      <c r="P16" s="160">
        <f t="shared" ref="P16:P32" si="11">ROUND(N16*8.5%,0)</f>
        <v>2992</v>
      </c>
      <c r="Q16" s="160">
        <f t="shared" ref="Q16:Q32" si="12">N16+O16+P16</f>
        <v>48704.639999999999</v>
      </c>
      <c r="R16" s="164">
        <f t="shared" si="6"/>
        <v>13508.58</v>
      </c>
      <c r="S16" s="291"/>
      <c r="T16" s="6" t="s">
        <v>179</v>
      </c>
      <c r="U16" s="6">
        <f>Q16-'da genn a aprile 2024'!L16</f>
        <v>-2.0000000004074536E-2</v>
      </c>
    </row>
    <row r="17" spans="1:21" x14ac:dyDescent="0.2">
      <c r="A17" s="311"/>
      <c r="B17" s="4" t="s">
        <v>180</v>
      </c>
      <c r="C17" s="318"/>
      <c r="D17" s="159">
        <v>3221.0099999999984</v>
      </c>
      <c r="E17" s="159"/>
      <c r="F17" s="160">
        <f t="shared" si="7"/>
        <v>6545.24</v>
      </c>
      <c r="G17" s="160">
        <f t="shared" si="8"/>
        <v>22181.559999999998</v>
      </c>
      <c r="H17" s="303"/>
      <c r="I17" s="161"/>
      <c r="J17" s="162"/>
      <c r="K17" s="303"/>
      <c r="L17" s="163">
        <f t="shared" si="2"/>
        <v>268.42</v>
      </c>
      <c r="M17" s="160"/>
      <c r="N17" s="160">
        <f t="shared" si="9"/>
        <v>34147.159999999996</v>
      </c>
      <c r="O17" s="160">
        <f t="shared" si="10"/>
        <v>10203.17</v>
      </c>
      <c r="P17" s="160">
        <f t="shared" si="11"/>
        <v>2903</v>
      </c>
      <c r="Q17" s="160">
        <f t="shared" si="12"/>
        <v>47253.329999999994</v>
      </c>
      <c r="R17" s="164">
        <f t="shared" si="6"/>
        <v>13106.17</v>
      </c>
      <c r="S17" s="291"/>
      <c r="T17" s="6" t="s">
        <v>180</v>
      </c>
      <c r="U17" s="6">
        <f>Q17-'da genn a aprile 2024'!L17</f>
        <v>0</v>
      </c>
    </row>
    <row r="18" spans="1:21" s="6" customFormat="1" x14ac:dyDescent="0.2">
      <c r="A18" s="311"/>
      <c r="B18" s="4" t="s">
        <v>181</v>
      </c>
      <c r="C18" s="318"/>
      <c r="D18" s="159">
        <v>1909.4599999999991</v>
      </c>
      <c r="E18" s="159"/>
      <c r="F18" s="160">
        <f t="shared" si="7"/>
        <v>6545.24</v>
      </c>
      <c r="G18" s="160">
        <f t="shared" si="8"/>
        <v>20870.010000000002</v>
      </c>
      <c r="H18" s="303"/>
      <c r="I18" s="161"/>
      <c r="J18" s="162"/>
      <c r="K18" s="303"/>
      <c r="L18" s="163">
        <f t="shared" si="2"/>
        <v>159.12</v>
      </c>
      <c r="M18" s="160"/>
      <c r="N18" s="160">
        <f t="shared" si="9"/>
        <v>32726.309999999998</v>
      </c>
      <c r="O18" s="160">
        <f t="shared" si="10"/>
        <v>9778.6200000000008</v>
      </c>
      <c r="P18" s="160">
        <f t="shared" si="11"/>
        <v>2782</v>
      </c>
      <c r="Q18" s="160">
        <f t="shared" si="12"/>
        <v>45286.93</v>
      </c>
      <c r="R18" s="164">
        <f t="shared" si="6"/>
        <v>12560.62</v>
      </c>
      <c r="S18" s="291"/>
      <c r="T18" s="6" t="s">
        <v>181</v>
      </c>
      <c r="U18" s="6">
        <f>Q18-'da genn a aprile 2024'!L18</f>
        <v>0</v>
      </c>
    </row>
    <row r="19" spans="1:21" s="6" customFormat="1" x14ac:dyDescent="0.2">
      <c r="A19" s="311"/>
      <c r="B19" s="4" t="s">
        <v>182</v>
      </c>
      <c r="C19" s="318"/>
      <c r="D19" s="159">
        <v>908.88999999999942</v>
      </c>
      <c r="E19" s="159"/>
      <c r="F19" s="160">
        <f t="shared" si="7"/>
        <v>6545.24</v>
      </c>
      <c r="G19" s="160">
        <f t="shared" si="8"/>
        <v>19869.440000000002</v>
      </c>
      <c r="H19" s="303"/>
      <c r="I19" s="161"/>
      <c r="J19" s="162"/>
      <c r="K19" s="303"/>
      <c r="L19" s="163">
        <f t="shared" si="2"/>
        <v>75.739999999999995</v>
      </c>
      <c r="M19" s="160"/>
      <c r="N19" s="160">
        <f t="shared" si="9"/>
        <v>31642.36</v>
      </c>
      <c r="O19" s="160">
        <f t="shared" si="10"/>
        <v>9454.74</v>
      </c>
      <c r="P19" s="160">
        <f t="shared" si="11"/>
        <v>2690</v>
      </c>
      <c r="Q19" s="160">
        <f t="shared" si="12"/>
        <v>43787.1</v>
      </c>
      <c r="R19" s="164">
        <f t="shared" si="6"/>
        <v>12144.74</v>
      </c>
      <c r="S19" s="291"/>
      <c r="T19" s="6" t="s">
        <v>182</v>
      </c>
      <c r="U19" s="6">
        <f>Q19-'da genn a aprile 2024'!L19</f>
        <v>0</v>
      </c>
    </row>
    <row r="20" spans="1:21" s="6" customFormat="1" ht="13.5" thickBot="1" x14ac:dyDescent="0.25">
      <c r="A20" s="312"/>
      <c r="B20" s="100" t="s">
        <v>183</v>
      </c>
      <c r="C20" s="319"/>
      <c r="D20" s="165">
        <v>0</v>
      </c>
      <c r="E20" s="165"/>
      <c r="F20" s="166">
        <f t="shared" si="7"/>
        <v>6545.24</v>
      </c>
      <c r="G20" s="166">
        <f t="shared" si="8"/>
        <v>18960.550000000003</v>
      </c>
      <c r="H20" s="304"/>
      <c r="I20" s="167"/>
      <c r="J20" s="168"/>
      <c r="K20" s="304"/>
      <c r="L20" s="169">
        <f t="shared" si="2"/>
        <v>0</v>
      </c>
      <c r="M20" s="166"/>
      <c r="N20" s="166">
        <f t="shared" si="9"/>
        <v>30657.73</v>
      </c>
      <c r="O20" s="166">
        <f t="shared" si="10"/>
        <v>9160.5300000000007</v>
      </c>
      <c r="P20" s="166">
        <f t="shared" si="11"/>
        <v>2606</v>
      </c>
      <c r="Q20" s="166">
        <f t="shared" si="12"/>
        <v>42424.26</v>
      </c>
      <c r="R20" s="170">
        <f t="shared" si="6"/>
        <v>11766.53</v>
      </c>
      <c r="S20" s="292"/>
      <c r="T20" s="11" t="s">
        <v>183</v>
      </c>
      <c r="U20" s="6">
        <f>Q20-'da genn a aprile 2024'!L20</f>
        <v>0</v>
      </c>
    </row>
    <row r="21" spans="1:21" s="6" customFormat="1" x14ac:dyDescent="0.2">
      <c r="A21" s="310" t="s">
        <v>162</v>
      </c>
      <c r="B21" s="99" t="s">
        <v>184</v>
      </c>
      <c r="C21" s="320">
        <v>22358.04</v>
      </c>
      <c r="D21" s="171">
        <v>4821.8600000000006</v>
      </c>
      <c r="E21" s="171"/>
      <c r="F21" s="172">
        <f>6450.08</f>
        <v>6450.08</v>
      </c>
      <c r="G21" s="172">
        <f>$C$21+D21+E21-F21</f>
        <v>20729.82</v>
      </c>
      <c r="H21" s="305">
        <v>2187.17</v>
      </c>
      <c r="I21" s="173"/>
      <c r="J21" s="174"/>
      <c r="K21" s="305">
        <f>ROUND((C21)/12,2)</f>
        <v>1863.17</v>
      </c>
      <c r="L21" s="175">
        <f t="shared" si="2"/>
        <v>401.82</v>
      </c>
      <c r="M21" s="172"/>
      <c r="N21" s="172">
        <f>$C$21+D21+E21+$H$21+I21+$J$21+$K$21+L21</f>
        <v>31632.059999999998</v>
      </c>
      <c r="O21" s="172">
        <f t="shared" si="10"/>
        <v>9451.66</v>
      </c>
      <c r="P21" s="172">
        <f>ROUND(N21*8.5%,0)</f>
        <v>2689</v>
      </c>
      <c r="Q21" s="172">
        <f>N21+O21+P21</f>
        <v>43772.72</v>
      </c>
      <c r="R21" s="176">
        <f>O21+P21</f>
        <v>12140.66</v>
      </c>
      <c r="S21" s="293" t="s">
        <v>162</v>
      </c>
      <c r="T21" s="84" t="s">
        <v>184</v>
      </c>
      <c r="U21" s="6">
        <f>Q21-'da genn a aprile 2024'!L21</f>
        <v>0</v>
      </c>
    </row>
    <row r="22" spans="1:21" s="6" customFormat="1" x14ac:dyDescent="0.2">
      <c r="A22" s="311"/>
      <c r="B22" s="92" t="s">
        <v>185</v>
      </c>
      <c r="C22" s="321"/>
      <c r="D22" s="177">
        <v>4075.0200000000004</v>
      </c>
      <c r="E22" s="177"/>
      <c r="F22" s="178">
        <f>6450.08</f>
        <v>6450.08</v>
      </c>
      <c r="G22" s="178">
        <f t="shared" ref="G22:G27" si="13">$C$21+D22+E22-F22</f>
        <v>19982.980000000003</v>
      </c>
      <c r="H22" s="306"/>
      <c r="I22" s="179"/>
      <c r="J22" s="180"/>
      <c r="K22" s="306"/>
      <c r="L22" s="181">
        <f t="shared" si="2"/>
        <v>339.59</v>
      </c>
      <c r="M22" s="178"/>
      <c r="N22" s="178">
        <f t="shared" ref="N22:N27" si="14">$C$21+D22+E22+$H$21+I22+$J$21+$K$21+L22</f>
        <v>30822.99</v>
      </c>
      <c r="O22" s="178">
        <f t="shared" si="10"/>
        <v>9209.91</v>
      </c>
      <c r="P22" s="178">
        <f>ROUND(N22*8.5%,0)</f>
        <v>2620</v>
      </c>
      <c r="Q22" s="178">
        <f>N22+O22+P22</f>
        <v>42652.9</v>
      </c>
      <c r="R22" s="182">
        <f>O22+P22</f>
        <v>11829.91</v>
      </c>
      <c r="S22" s="294"/>
      <c r="T22" s="84" t="s">
        <v>185</v>
      </c>
      <c r="U22" s="6">
        <f>Q22-'da genn a aprile 2024'!L22</f>
        <v>0</v>
      </c>
    </row>
    <row r="23" spans="1:21" s="6" customFormat="1" x14ac:dyDescent="0.2">
      <c r="A23" s="311"/>
      <c r="B23" s="4" t="s">
        <v>186</v>
      </c>
      <c r="C23" s="321"/>
      <c r="D23" s="177">
        <v>3317.5200000000004</v>
      </c>
      <c r="E23" s="177"/>
      <c r="F23" s="178">
        <f>6450.08</f>
        <v>6450.08</v>
      </c>
      <c r="G23" s="178">
        <f t="shared" si="13"/>
        <v>19225.480000000003</v>
      </c>
      <c r="H23" s="306"/>
      <c r="I23" s="179"/>
      <c r="J23" s="180"/>
      <c r="K23" s="306"/>
      <c r="L23" s="181">
        <f t="shared" si="2"/>
        <v>276.45999999999998</v>
      </c>
      <c r="M23" s="178"/>
      <c r="N23" s="178">
        <f t="shared" si="14"/>
        <v>30002.36</v>
      </c>
      <c r="O23" s="178">
        <f t="shared" si="10"/>
        <v>8964.7099999999991</v>
      </c>
      <c r="P23" s="178">
        <f>ROUND(N23*8.5%,0)</f>
        <v>2550</v>
      </c>
      <c r="Q23" s="178">
        <f>N23+O23+P23</f>
        <v>41517.07</v>
      </c>
      <c r="R23" s="182">
        <f>O23+P23</f>
        <v>11514.71</v>
      </c>
      <c r="S23" s="294"/>
      <c r="T23" s="6" t="s">
        <v>186</v>
      </c>
      <c r="U23" s="6">
        <f>Q23-'da genn a aprile 2024'!L23</f>
        <v>0</v>
      </c>
    </row>
    <row r="24" spans="1:21" s="6" customFormat="1" x14ac:dyDescent="0.2">
      <c r="A24" s="311"/>
      <c r="B24" s="4" t="s">
        <v>187</v>
      </c>
      <c r="C24" s="321"/>
      <c r="D24" s="177">
        <v>2577.7200000000012</v>
      </c>
      <c r="E24" s="177"/>
      <c r="F24" s="178">
        <f>6450.08</f>
        <v>6450.08</v>
      </c>
      <c r="G24" s="178">
        <f t="shared" si="13"/>
        <v>18485.68</v>
      </c>
      <c r="H24" s="306"/>
      <c r="I24" s="179"/>
      <c r="J24" s="180"/>
      <c r="K24" s="306"/>
      <c r="L24" s="181">
        <f t="shared" si="2"/>
        <v>214.81</v>
      </c>
      <c r="M24" s="178"/>
      <c r="N24" s="178">
        <f t="shared" si="14"/>
        <v>29200.91</v>
      </c>
      <c r="O24" s="178">
        <f t="shared" si="10"/>
        <v>8725.23</v>
      </c>
      <c r="P24" s="178">
        <f t="shared" si="11"/>
        <v>2482</v>
      </c>
      <c r="Q24" s="178">
        <f>N24+O24+P24</f>
        <v>40408.14</v>
      </c>
      <c r="R24" s="182">
        <f t="shared" si="6"/>
        <v>11207.23</v>
      </c>
      <c r="S24" s="294"/>
      <c r="T24" s="6" t="s">
        <v>187</v>
      </c>
      <c r="U24" s="6">
        <f>Q24-'da genn a aprile 2024'!L24</f>
        <v>0</v>
      </c>
    </row>
    <row r="25" spans="1:21" s="6" customFormat="1" x14ac:dyDescent="0.2">
      <c r="A25" s="311"/>
      <c r="B25" s="92" t="s">
        <v>188</v>
      </c>
      <c r="C25" s="321"/>
      <c r="D25" s="177">
        <v>1878.4799999999996</v>
      </c>
      <c r="E25" s="177"/>
      <c r="F25" s="178">
        <f>6450.08</f>
        <v>6450.08</v>
      </c>
      <c r="G25" s="178">
        <f t="shared" si="13"/>
        <v>17786.440000000002</v>
      </c>
      <c r="H25" s="306"/>
      <c r="I25" s="179"/>
      <c r="J25" s="180"/>
      <c r="K25" s="306"/>
      <c r="L25" s="181">
        <f t="shared" si="2"/>
        <v>156.54</v>
      </c>
      <c r="M25" s="178"/>
      <c r="N25" s="178">
        <f t="shared" si="14"/>
        <v>28443.4</v>
      </c>
      <c r="O25" s="178">
        <f t="shared" si="10"/>
        <v>8498.89</v>
      </c>
      <c r="P25" s="178">
        <f t="shared" si="11"/>
        <v>2418</v>
      </c>
      <c r="Q25" s="178">
        <f t="shared" si="12"/>
        <v>39360.29</v>
      </c>
      <c r="R25" s="182">
        <f t="shared" si="6"/>
        <v>10916.89</v>
      </c>
      <c r="S25" s="294"/>
      <c r="T25" s="84" t="s">
        <v>188</v>
      </c>
      <c r="U25" s="6">
        <f>Q25-'da genn a aprile 2024'!L25</f>
        <v>0</v>
      </c>
    </row>
    <row r="26" spans="1:21" s="6" customFormat="1" x14ac:dyDescent="0.2">
      <c r="A26" s="311"/>
      <c r="B26" s="4" t="s">
        <v>189</v>
      </c>
      <c r="C26" s="321"/>
      <c r="D26" s="177">
        <v>800.40000000000146</v>
      </c>
      <c r="E26" s="177"/>
      <c r="F26" s="178">
        <f>6372.64</f>
        <v>6372.64</v>
      </c>
      <c r="G26" s="178">
        <f t="shared" si="13"/>
        <v>16785.800000000003</v>
      </c>
      <c r="H26" s="306"/>
      <c r="I26" s="179"/>
      <c r="J26" s="180"/>
      <c r="K26" s="306"/>
      <c r="L26" s="181">
        <f t="shared" si="2"/>
        <v>66.7</v>
      </c>
      <c r="M26" s="178"/>
      <c r="N26" s="178">
        <f t="shared" si="14"/>
        <v>27275.48</v>
      </c>
      <c r="O26" s="178">
        <f t="shared" si="10"/>
        <v>8149.91</v>
      </c>
      <c r="P26" s="178">
        <f t="shared" si="11"/>
        <v>2318</v>
      </c>
      <c r="Q26" s="178">
        <f t="shared" si="12"/>
        <v>37743.39</v>
      </c>
      <c r="R26" s="182">
        <f t="shared" si="6"/>
        <v>10467.91</v>
      </c>
      <c r="S26" s="294"/>
      <c r="T26" s="6" t="s">
        <v>189</v>
      </c>
      <c r="U26" s="6">
        <f>Q26-'da genn a aprile 2024'!L26</f>
        <v>0</v>
      </c>
    </row>
    <row r="27" spans="1:21" s="6" customFormat="1" ht="13.5" thickBot="1" x14ac:dyDescent="0.25">
      <c r="A27" s="312"/>
      <c r="B27" s="5" t="s">
        <v>194</v>
      </c>
      <c r="C27" s="322"/>
      <c r="D27" s="183">
        <v>0</v>
      </c>
      <c r="E27" s="183"/>
      <c r="F27" s="184">
        <f>6372.64</f>
        <v>6372.64</v>
      </c>
      <c r="G27" s="184">
        <f t="shared" si="13"/>
        <v>15985.400000000001</v>
      </c>
      <c r="H27" s="307"/>
      <c r="I27" s="185"/>
      <c r="J27" s="186"/>
      <c r="K27" s="307"/>
      <c r="L27" s="187">
        <f t="shared" si="2"/>
        <v>0</v>
      </c>
      <c r="M27" s="184"/>
      <c r="N27" s="184">
        <f t="shared" si="14"/>
        <v>26408.379999999997</v>
      </c>
      <c r="O27" s="184">
        <f t="shared" si="10"/>
        <v>7890.82</v>
      </c>
      <c r="P27" s="184">
        <f t="shared" si="11"/>
        <v>2245</v>
      </c>
      <c r="Q27" s="184">
        <f t="shared" si="12"/>
        <v>36544.199999999997</v>
      </c>
      <c r="R27" s="188">
        <f t="shared" si="6"/>
        <v>10135.82</v>
      </c>
      <c r="S27" s="295"/>
      <c r="T27" s="6" t="s">
        <v>194</v>
      </c>
      <c r="U27" s="6">
        <f>Q27-'da genn a aprile 2024'!L27</f>
        <v>0</v>
      </c>
    </row>
    <row r="28" spans="1:21" s="6" customFormat="1" x14ac:dyDescent="0.2">
      <c r="A28" s="313" t="s">
        <v>161</v>
      </c>
      <c r="B28" s="99" t="s">
        <v>190</v>
      </c>
      <c r="C28" s="323">
        <v>21306.79</v>
      </c>
      <c r="D28" s="189">
        <v>2963.25</v>
      </c>
      <c r="E28" s="189"/>
      <c r="F28" s="190">
        <f>6332.96</f>
        <v>6332.96</v>
      </c>
      <c r="G28" s="190">
        <f>$C$28+D28+E28-F28</f>
        <v>17937.080000000002</v>
      </c>
      <c r="H28" s="284">
        <v>1646.36</v>
      </c>
      <c r="I28" s="191"/>
      <c r="J28" s="192"/>
      <c r="K28" s="284">
        <f>ROUND((C28)/12,2)</f>
        <v>1775.57</v>
      </c>
      <c r="L28" s="193">
        <f t="shared" si="2"/>
        <v>246.94</v>
      </c>
      <c r="M28" s="190"/>
      <c r="N28" s="190">
        <f>$C$28+D28+E28+$H$28+I28+$J$28+$K$28+L28</f>
        <v>27938.91</v>
      </c>
      <c r="O28" s="190">
        <f t="shared" si="10"/>
        <v>8348.15</v>
      </c>
      <c r="P28" s="190">
        <f>ROUND(N28*8.5%,0)</f>
        <v>2375</v>
      </c>
      <c r="Q28" s="190">
        <f>N28+O28+P28</f>
        <v>38662.06</v>
      </c>
      <c r="R28" s="194">
        <f>O28+P28</f>
        <v>10723.15</v>
      </c>
      <c r="S28" s="296" t="s">
        <v>161</v>
      </c>
      <c r="T28" s="84" t="s">
        <v>190</v>
      </c>
      <c r="U28" s="6">
        <f>Q28-'da genn a aprile 2024'!L29</f>
        <v>1.9999999996798579E-2</v>
      </c>
    </row>
    <row r="29" spans="1:21" s="6" customFormat="1" ht="12" customHeight="1" x14ac:dyDescent="0.2">
      <c r="A29" s="314"/>
      <c r="B29" s="92" t="s">
        <v>191</v>
      </c>
      <c r="C29" s="324"/>
      <c r="D29" s="195">
        <v>2411.9300000000003</v>
      </c>
      <c r="E29" s="195"/>
      <c r="F29" s="196">
        <f>6332.96</f>
        <v>6332.96</v>
      </c>
      <c r="G29" s="196">
        <f t="shared" ref="G29:G32" si="15">$C$28+D29+E29-F29</f>
        <v>17385.760000000002</v>
      </c>
      <c r="H29" s="285"/>
      <c r="I29" s="197"/>
      <c r="J29" s="198"/>
      <c r="K29" s="285"/>
      <c r="L29" s="199">
        <f t="shared" si="2"/>
        <v>200.99</v>
      </c>
      <c r="M29" s="196"/>
      <c r="N29" s="196">
        <f t="shared" ref="N29:N32" si="16">$C$28+D29+E29+$H$28+I29+$J$28+$K$28+L29</f>
        <v>27341.640000000003</v>
      </c>
      <c r="O29" s="196">
        <f t="shared" si="10"/>
        <v>8169.68</v>
      </c>
      <c r="P29" s="196">
        <f>ROUND(N29*8.5%,0)</f>
        <v>2324</v>
      </c>
      <c r="Q29" s="196">
        <f>N29+O29+P29</f>
        <v>37835.320000000007</v>
      </c>
      <c r="R29" s="200">
        <f>O29+P29</f>
        <v>10493.68</v>
      </c>
      <c r="S29" s="297"/>
      <c r="T29" s="84" t="s">
        <v>191</v>
      </c>
      <c r="U29" s="6">
        <f>Q29-'da genn a aprile 2024'!L30</f>
        <v>0</v>
      </c>
    </row>
    <row r="30" spans="1:21" s="6" customFormat="1" ht="12" customHeight="1" x14ac:dyDescent="0.2">
      <c r="A30" s="314"/>
      <c r="B30" s="92" t="s">
        <v>192</v>
      </c>
      <c r="C30" s="324"/>
      <c r="D30" s="195">
        <v>1616.7499999999964</v>
      </c>
      <c r="E30" s="195"/>
      <c r="F30" s="196">
        <f>6332.96</f>
        <v>6332.96</v>
      </c>
      <c r="G30" s="196">
        <f t="shared" si="15"/>
        <v>16590.579999999998</v>
      </c>
      <c r="H30" s="285"/>
      <c r="I30" s="197"/>
      <c r="J30" s="198"/>
      <c r="K30" s="285"/>
      <c r="L30" s="199">
        <f t="shared" si="2"/>
        <v>134.72999999999999</v>
      </c>
      <c r="M30" s="196"/>
      <c r="N30" s="196">
        <f t="shared" si="16"/>
        <v>26480.199999999997</v>
      </c>
      <c r="O30" s="196">
        <f t="shared" si="10"/>
        <v>7912.28</v>
      </c>
      <c r="P30" s="196">
        <f>ROUND(N30*8.5%,0)</f>
        <v>2251</v>
      </c>
      <c r="Q30" s="196">
        <f>N30+O30+P30</f>
        <v>36643.479999999996</v>
      </c>
      <c r="R30" s="200">
        <f>O30+P30</f>
        <v>10163.279999999999</v>
      </c>
      <c r="S30" s="297"/>
      <c r="T30" s="84" t="s">
        <v>192</v>
      </c>
      <c r="U30" s="6">
        <f>Q30-'da genn a aprile 2024'!L31</f>
        <v>0</v>
      </c>
    </row>
    <row r="31" spans="1:21" s="6" customFormat="1" x14ac:dyDescent="0.2">
      <c r="A31" s="314"/>
      <c r="B31" s="92" t="s">
        <v>193</v>
      </c>
      <c r="C31" s="324"/>
      <c r="D31" s="195">
        <v>845.61000000000058</v>
      </c>
      <c r="E31" s="195"/>
      <c r="F31" s="196">
        <f>6332.96</f>
        <v>6332.96</v>
      </c>
      <c r="G31" s="196">
        <f t="shared" si="15"/>
        <v>15819.440000000002</v>
      </c>
      <c r="H31" s="285"/>
      <c r="I31" s="197"/>
      <c r="J31" s="198"/>
      <c r="K31" s="285"/>
      <c r="L31" s="199">
        <f t="shared" si="2"/>
        <v>70.47</v>
      </c>
      <c r="M31" s="196"/>
      <c r="N31" s="196">
        <f t="shared" si="16"/>
        <v>25644.800000000003</v>
      </c>
      <c r="O31" s="196">
        <f t="shared" si="10"/>
        <v>7662.67</v>
      </c>
      <c r="P31" s="196">
        <f t="shared" si="11"/>
        <v>2180</v>
      </c>
      <c r="Q31" s="196">
        <f t="shared" si="12"/>
        <v>35487.47</v>
      </c>
      <c r="R31" s="200">
        <f t="shared" si="6"/>
        <v>9842.67</v>
      </c>
      <c r="S31" s="297"/>
      <c r="T31" s="84" t="s">
        <v>193</v>
      </c>
      <c r="U31" s="6">
        <f>Q31-'da genn a aprile 2024'!L32</f>
        <v>2.0000000004074536E-2</v>
      </c>
    </row>
    <row r="32" spans="1:21" s="6" customFormat="1" ht="26.25" thickBot="1" x14ac:dyDescent="0.25">
      <c r="A32" s="315"/>
      <c r="B32" s="101" t="s">
        <v>195</v>
      </c>
      <c r="C32" s="325"/>
      <c r="D32" s="201">
        <v>0</v>
      </c>
      <c r="E32" s="201"/>
      <c r="F32" s="202">
        <f>6332.96</f>
        <v>6332.96</v>
      </c>
      <c r="G32" s="202">
        <f t="shared" si="15"/>
        <v>14973.830000000002</v>
      </c>
      <c r="H32" s="286"/>
      <c r="I32" s="203"/>
      <c r="J32" s="204"/>
      <c r="K32" s="286"/>
      <c r="L32" s="205">
        <f t="shared" si="2"/>
        <v>0</v>
      </c>
      <c r="M32" s="202"/>
      <c r="N32" s="202">
        <f t="shared" si="16"/>
        <v>24728.720000000001</v>
      </c>
      <c r="O32" s="202">
        <f t="shared" si="10"/>
        <v>7388.94</v>
      </c>
      <c r="P32" s="202">
        <f t="shared" si="11"/>
        <v>2102</v>
      </c>
      <c r="Q32" s="202">
        <f t="shared" si="12"/>
        <v>34219.660000000003</v>
      </c>
      <c r="R32" s="206">
        <f t="shared" si="6"/>
        <v>9490.9399999999987</v>
      </c>
      <c r="S32" s="298"/>
      <c r="T32" s="94" t="s">
        <v>195</v>
      </c>
      <c r="U32" s="6">
        <f>Q32-'da genn a aprile 2024'!L33</f>
        <v>0</v>
      </c>
    </row>
    <row r="36" spans="1:22" ht="18.75" x14ac:dyDescent="0.2">
      <c r="A36" s="2" t="s">
        <v>214</v>
      </c>
      <c r="P36" s="9"/>
      <c r="Q36" s="9"/>
      <c r="R36" s="9"/>
      <c r="S36" s="9"/>
      <c r="T36" s="9"/>
    </row>
    <row r="37" spans="1:22" x14ac:dyDescent="0.2">
      <c r="A37" s="10" t="s">
        <v>218</v>
      </c>
      <c r="B37" s="10"/>
      <c r="C37" s="10"/>
      <c r="E37" s="10"/>
      <c r="G37" s="10"/>
      <c r="H37" s="10"/>
      <c r="P37" s="9"/>
      <c r="Q37" s="9"/>
      <c r="R37" s="9"/>
      <c r="S37" s="9"/>
      <c r="T37" s="9"/>
    </row>
    <row r="38" spans="1:22" ht="13.5" thickBot="1" x14ac:dyDescent="0.25">
      <c r="P38" s="9"/>
      <c r="Q38" s="9"/>
      <c r="R38" s="14" t="s">
        <v>200</v>
      </c>
      <c r="S38" s="98" t="s">
        <v>79</v>
      </c>
      <c r="T38" s="88" t="s">
        <v>206</v>
      </c>
    </row>
    <row r="39" spans="1:22" ht="64.5" thickBot="1" x14ac:dyDescent="0.25">
      <c r="A39" s="130" t="s">
        <v>165</v>
      </c>
      <c r="B39" s="277" t="s">
        <v>166</v>
      </c>
      <c r="C39" s="277" t="s">
        <v>209</v>
      </c>
      <c r="D39" s="131" t="s">
        <v>35</v>
      </c>
      <c r="E39" s="131" t="s">
        <v>33</v>
      </c>
      <c r="F39" s="277" t="s">
        <v>42</v>
      </c>
      <c r="G39" s="131" t="s">
        <v>36</v>
      </c>
      <c r="H39" s="131" t="s">
        <v>208</v>
      </c>
      <c r="I39" s="131" t="s">
        <v>32</v>
      </c>
      <c r="J39" s="131" t="s">
        <v>37</v>
      </c>
      <c r="K39" s="131" t="s">
        <v>38</v>
      </c>
      <c r="L39" s="131" t="s">
        <v>39</v>
      </c>
      <c r="M39" s="131" t="s">
        <v>40</v>
      </c>
      <c r="N39" s="132" t="s">
        <v>165</v>
      </c>
      <c r="O39" s="127"/>
      <c r="P39" s="127"/>
      <c r="Q39" s="127"/>
      <c r="R39" s="128" t="s">
        <v>33</v>
      </c>
      <c r="S39" s="129">
        <v>0.34239999999999998</v>
      </c>
      <c r="T39" s="283">
        <v>0.29880000000000001</v>
      </c>
      <c r="U39" s="127"/>
      <c r="V39" s="127"/>
    </row>
    <row r="40" spans="1:22" ht="39" thickBot="1" x14ac:dyDescent="0.25">
      <c r="A40" s="102" t="s">
        <v>164</v>
      </c>
      <c r="B40" s="103">
        <v>28693.65</v>
      </c>
      <c r="C40" s="104"/>
      <c r="D40" s="105">
        <v>6682.26</v>
      </c>
      <c r="E40" s="105">
        <f>B40+C40-D40</f>
        <v>22011.39</v>
      </c>
      <c r="F40" s="105">
        <v>3577.2</v>
      </c>
      <c r="G40" s="105">
        <v>3099</v>
      </c>
      <c r="H40" s="105">
        <f>ROUND((B40+C40)/12,2)</f>
        <v>2391.14</v>
      </c>
      <c r="I40" s="105">
        <f>B40+C40+F40+G40+H40</f>
        <v>37760.990000000005</v>
      </c>
      <c r="J40" s="105">
        <f>ROUND(E40*$S$39+$G$40*$S$40+($F$40)*$S$41+($H$40)*$S$42+D40*$S$43,2)</f>
        <v>12066.66</v>
      </c>
      <c r="K40" s="105">
        <f>ROUND(I40*8.5%,0)</f>
        <v>3210</v>
      </c>
      <c r="L40" s="105">
        <f>I40+J40+K40</f>
        <v>53037.650000000009</v>
      </c>
      <c r="M40" s="105">
        <f>J40+K40</f>
        <v>15276.66</v>
      </c>
      <c r="N40" s="106" t="s">
        <v>164</v>
      </c>
      <c r="O40" s="84"/>
      <c r="P40" s="9"/>
      <c r="Q40" s="9"/>
      <c r="R40" s="96" t="s">
        <v>201</v>
      </c>
      <c r="S40" s="97">
        <v>0.24199999999999999</v>
      </c>
      <c r="T40" s="283"/>
      <c r="U40" s="88" t="s">
        <v>207</v>
      </c>
    </row>
    <row r="41" spans="1:22" ht="13.5" thickBot="1" x14ac:dyDescent="0.25">
      <c r="A41" s="107" t="s">
        <v>163</v>
      </c>
      <c r="B41" s="108">
        <v>25505.79</v>
      </c>
      <c r="C41" s="109"/>
      <c r="D41" s="110">
        <f>6545.24</f>
        <v>6545.24</v>
      </c>
      <c r="E41" s="110">
        <f>B41+C41-D41</f>
        <v>18960.550000000003</v>
      </c>
      <c r="F41" s="110">
        <v>3026.46</v>
      </c>
      <c r="G41" s="110"/>
      <c r="H41" s="110">
        <f>ROUND((B41+C41)/12,2)</f>
        <v>2125.48</v>
      </c>
      <c r="I41" s="110">
        <f>B41+C41+F41+G41+H41</f>
        <v>30657.73</v>
      </c>
      <c r="J41" s="110">
        <f>ROUND((I41)*$T$39,2)</f>
        <v>9160.5300000000007</v>
      </c>
      <c r="K41" s="110">
        <f>ROUND(I41*8.5%,0)</f>
        <v>2606</v>
      </c>
      <c r="L41" s="110">
        <f>I41+J41+K41</f>
        <v>42424.26</v>
      </c>
      <c r="M41" s="110">
        <f>J41+K41</f>
        <v>11766.53</v>
      </c>
      <c r="N41" s="111" t="s">
        <v>163</v>
      </c>
      <c r="O41" s="84"/>
      <c r="P41" s="9"/>
      <c r="Q41" s="9"/>
      <c r="R41" s="96" t="s">
        <v>203</v>
      </c>
      <c r="S41" s="97">
        <v>0.29880000000000001</v>
      </c>
      <c r="T41" s="283"/>
    </row>
    <row r="42" spans="1:22" ht="26.25" thickBot="1" x14ac:dyDescent="0.25">
      <c r="A42" s="112" t="s">
        <v>162</v>
      </c>
      <c r="B42" s="113">
        <v>22358.04</v>
      </c>
      <c r="C42" s="114"/>
      <c r="D42" s="115">
        <f>6450.08</f>
        <v>6450.08</v>
      </c>
      <c r="E42" s="115">
        <f>B42+C42-D42</f>
        <v>15907.960000000001</v>
      </c>
      <c r="F42" s="115">
        <v>2187.17</v>
      </c>
      <c r="G42" s="115"/>
      <c r="H42" s="115">
        <f>ROUND((B42+C42)/12,2)</f>
        <v>1863.17</v>
      </c>
      <c r="I42" s="115">
        <f>B42+C42+F42+G42+H42</f>
        <v>26408.379999999997</v>
      </c>
      <c r="J42" s="115">
        <f>ROUND((I42)*$T$39,2)</f>
        <v>7890.82</v>
      </c>
      <c r="K42" s="115">
        <f>ROUND(I42*8.5%,0)</f>
        <v>2245</v>
      </c>
      <c r="L42" s="115">
        <f>I42+J42+K42</f>
        <v>36544.199999999997</v>
      </c>
      <c r="M42" s="115">
        <f>J42+K42</f>
        <v>10135.82</v>
      </c>
      <c r="N42" s="116" t="s">
        <v>162</v>
      </c>
      <c r="O42" s="84"/>
      <c r="R42" s="96" t="s">
        <v>202</v>
      </c>
      <c r="S42" s="97">
        <v>0.29880000000000001</v>
      </c>
      <c r="T42" s="283"/>
      <c r="V42" s="6"/>
    </row>
    <row r="43" spans="1:22" ht="13.5" thickBot="1" x14ac:dyDescent="0.25">
      <c r="A43" s="117" t="s">
        <v>161</v>
      </c>
      <c r="B43" s="118">
        <v>21306.79</v>
      </c>
      <c r="C43" s="119"/>
      <c r="D43" s="120">
        <f>6332.96</f>
        <v>6332.96</v>
      </c>
      <c r="E43" s="120">
        <f>B43+C43-D43</f>
        <v>14973.830000000002</v>
      </c>
      <c r="F43" s="120">
        <v>1646.36</v>
      </c>
      <c r="G43" s="120"/>
      <c r="H43" s="120">
        <f>ROUND((B43+C43)/12,2)</f>
        <v>1775.57</v>
      </c>
      <c r="I43" s="120">
        <f>B43+C43+F43+G43+H43</f>
        <v>24728.720000000001</v>
      </c>
      <c r="J43" s="120">
        <f>ROUND((I43)*$T$39,2)</f>
        <v>7388.94</v>
      </c>
      <c r="K43" s="120">
        <f>ROUND(I43*8.5%,0)</f>
        <v>2102</v>
      </c>
      <c r="L43" s="120">
        <f>I43+J43+K43</f>
        <v>34219.660000000003</v>
      </c>
      <c r="M43" s="120">
        <f>J43+K43</f>
        <v>9490.9399999999987</v>
      </c>
      <c r="N43" s="121" t="s">
        <v>161</v>
      </c>
      <c r="O43" s="84"/>
      <c r="R43" s="96" t="s">
        <v>204</v>
      </c>
      <c r="S43" s="97">
        <v>0.29880000000000001</v>
      </c>
      <c r="T43" s="283"/>
      <c r="V43" s="6"/>
    </row>
    <row r="44" spans="1:22" x14ac:dyDescent="0.2">
      <c r="P44" s="9"/>
      <c r="Q44" s="9"/>
      <c r="R44" s="96" t="s">
        <v>205</v>
      </c>
      <c r="S44" s="97">
        <v>8.5000000000000006E-2</v>
      </c>
      <c r="T44" s="97">
        <v>8.5000000000000006E-2</v>
      </c>
    </row>
    <row r="45" spans="1:22" x14ac:dyDescent="0.2">
      <c r="P45" s="9"/>
      <c r="Q45" s="9"/>
      <c r="R45" s="9"/>
      <c r="S45" s="9"/>
      <c r="T45" s="9"/>
    </row>
    <row r="46" spans="1:22" x14ac:dyDescent="0.2">
      <c r="P46" s="9"/>
      <c r="Q46" s="9"/>
      <c r="R46" s="9"/>
      <c r="S46" s="9"/>
      <c r="T46" s="9"/>
    </row>
  </sheetData>
  <mergeCells count="23">
    <mergeCell ref="T39:T43"/>
    <mergeCell ref="A5:A12"/>
    <mergeCell ref="A13:A20"/>
    <mergeCell ref="A21:A27"/>
    <mergeCell ref="A28:A32"/>
    <mergeCell ref="C5:C12"/>
    <mergeCell ref="C13:C20"/>
    <mergeCell ref="C21:C27"/>
    <mergeCell ref="C28:C32"/>
    <mergeCell ref="Z4:Z8"/>
    <mergeCell ref="H28:H32"/>
    <mergeCell ref="S5:S12"/>
    <mergeCell ref="S13:S20"/>
    <mergeCell ref="S21:S27"/>
    <mergeCell ref="S28:S32"/>
    <mergeCell ref="K5:K12"/>
    <mergeCell ref="K13:K20"/>
    <mergeCell ref="K21:K27"/>
    <mergeCell ref="K28:K32"/>
    <mergeCell ref="H5:H12"/>
    <mergeCell ref="J5:J12"/>
    <mergeCell ref="H13:H20"/>
    <mergeCell ref="H21:H27"/>
  </mergeCells>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33E3C-931A-4A2C-9306-6397620D33FF}">
  <dimension ref="A1:AA45"/>
  <sheetViews>
    <sheetView zoomScaleNormal="100" workbookViewId="0">
      <selection activeCell="H36" sqref="H36"/>
    </sheetView>
  </sheetViews>
  <sheetFormatPr defaultRowHeight="12.75" x14ac:dyDescent="0.2"/>
  <cols>
    <col min="1" max="1" width="20.140625" style="9" customWidth="1"/>
    <col min="2" max="2" width="13.5703125" style="6" bestFit="1" customWidth="1"/>
    <col min="3" max="5" width="11.42578125" style="6" customWidth="1"/>
    <col min="6" max="6" width="10.140625" style="6" bestFit="1" customWidth="1"/>
    <col min="7" max="7" width="10.28515625" style="6" customWidth="1"/>
    <col min="8" max="8" width="9.42578125" style="6" bestFit="1" customWidth="1"/>
    <col min="9" max="9" width="9.42578125" style="6" customWidth="1"/>
    <col min="10" max="13" width="11.5703125" style="6" customWidth="1"/>
    <col min="14" max="14" width="16.7109375" style="6" customWidth="1"/>
    <col min="15" max="15" width="10.7109375" style="6" customWidth="1"/>
    <col min="16" max="16" width="12" style="6" customWidth="1"/>
    <col min="17" max="18" width="10.7109375" style="6" customWidth="1"/>
    <col min="19" max="19" width="14.42578125" style="6" customWidth="1"/>
    <col min="20" max="20" width="13.85546875" style="6" customWidth="1"/>
    <col min="21" max="16384" width="9.140625" style="9"/>
  </cols>
  <sheetData>
    <row r="1" spans="1:27" ht="18.75" x14ac:dyDescent="0.2">
      <c r="A1" s="2" t="s">
        <v>215</v>
      </c>
      <c r="B1" s="2"/>
    </row>
    <row r="2" spans="1:27" x14ac:dyDescent="0.2">
      <c r="A2" s="10" t="s">
        <v>219</v>
      </c>
      <c r="B2" s="10"/>
      <c r="C2" s="10"/>
      <c r="D2" s="10"/>
      <c r="E2" s="10"/>
      <c r="G2" s="10"/>
      <c r="J2" s="10"/>
      <c r="K2" s="10"/>
      <c r="L2" s="10"/>
      <c r="M2" s="10"/>
    </row>
    <row r="3" spans="1:27" ht="13.5" thickBot="1" x14ac:dyDescent="0.25">
      <c r="B3" s="11"/>
      <c r="X3" s="14" t="s">
        <v>200</v>
      </c>
      <c r="Y3" s="98" t="s">
        <v>79</v>
      </c>
      <c r="Z3" s="88" t="s">
        <v>206</v>
      </c>
    </row>
    <row r="4" spans="1:27" s="127" customFormat="1" ht="64.5" thickBot="1" x14ac:dyDescent="0.25">
      <c r="A4" s="122" t="s">
        <v>165</v>
      </c>
      <c r="B4" s="123"/>
      <c r="C4" s="276" t="s">
        <v>166</v>
      </c>
      <c r="D4" s="124" t="s">
        <v>196</v>
      </c>
      <c r="E4" s="276" t="s">
        <v>216</v>
      </c>
      <c r="F4" s="123" t="s">
        <v>35</v>
      </c>
      <c r="G4" s="123" t="s">
        <v>33</v>
      </c>
      <c r="H4" s="278" t="s">
        <v>42</v>
      </c>
      <c r="I4" s="123" t="s">
        <v>197</v>
      </c>
      <c r="J4" s="123" t="s">
        <v>36</v>
      </c>
      <c r="K4" s="123" t="s">
        <v>198</v>
      </c>
      <c r="L4" s="123" t="s">
        <v>199</v>
      </c>
      <c r="M4" s="123"/>
      <c r="N4" s="123" t="s">
        <v>32</v>
      </c>
      <c r="O4" s="123" t="s">
        <v>37</v>
      </c>
      <c r="P4" s="123" t="s">
        <v>38</v>
      </c>
      <c r="Q4" s="123" t="s">
        <v>39</v>
      </c>
      <c r="R4" s="125" t="s">
        <v>40</v>
      </c>
      <c r="S4" s="126" t="s">
        <v>165</v>
      </c>
      <c r="X4" s="128" t="s">
        <v>33</v>
      </c>
      <c r="Y4" s="129">
        <v>0.34239999999999998</v>
      </c>
      <c r="Z4" s="283">
        <v>0.29880000000000001</v>
      </c>
    </row>
    <row r="5" spans="1:27" ht="25.5" customHeight="1" x14ac:dyDescent="0.2">
      <c r="A5" s="310" t="s">
        <v>164</v>
      </c>
      <c r="B5" s="99" t="s">
        <v>168</v>
      </c>
      <c r="C5" s="316">
        <v>28693.65</v>
      </c>
      <c r="D5" s="137">
        <v>11018.27</v>
      </c>
      <c r="E5" s="137">
        <f>'IVC Nuova'!M3*12</f>
        <v>172.2</v>
      </c>
      <c r="F5" s="138">
        <f>6818.23</f>
        <v>6818.23</v>
      </c>
      <c r="G5" s="138">
        <f>$C$5+D5+E5-F5</f>
        <v>33065.89</v>
      </c>
      <c r="H5" s="299">
        <v>3577.2</v>
      </c>
      <c r="I5" s="139">
        <f>4271.77-3359.4</f>
        <v>912.37000000000035</v>
      </c>
      <c r="J5" s="299">
        <v>3099</v>
      </c>
      <c r="K5" s="299">
        <f>ROUND((C5)/12,2)</f>
        <v>2391.14</v>
      </c>
      <c r="L5" s="140">
        <f>ROUND((D5+E5)/12,2)</f>
        <v>932.54</v>
      </c>
      <c r="M5" s="137"/>
      <c r="N5" s="138">
        <f t="shared" ref="N5:N12" si="0">$C$5+D5+E5+$H$5+I5+$J$5+$K$5+L5</f>
        <v>50796.369999999995</v>
      </c>
      <c r="O5" s="138">
        <f>ROUND(G5*$Y$4+$J$5*$Y$5+($H$5+I5)*$Y$6+($K$5+L5)*$Y$7+F5*$Y$8,2)</f>
        <v>16443.599999999999</v>
      </c>
      <c r="P5" s="138">
        <f>ROUND(N5*8.5%,0)</f>
        <v>4318</v>
      </c>
      <c r="Q5" s="138">
        <f>N5+O5+P5</f>
        <v>71557.97</v>
      </c>
      <c r="R5" s="141">
        <f>O5+P5</f>
        <v>20761.599999999999</v>
      </c>
      <c r="S5" s="287" t="s">
        <v>164</v>
      </c>
      <c r="T5" s="84" t="s">
        <v>168</v>
      </c>
      <c r="U5" s="6">
        <f>Q5-'da genn a aprile 2024'!L5</f>
        <v>265.79000000000815</v>
      </c>
      <c r="X5" s="96" t="s">
        <v>201</v>
      </c>
      <c r="Y5" s="97">
        <v>0.24199999999999999</v>
      </c>
      <c r="Z5" s="283"/>
      <c r="AA5" s="88" t="s">
        <v>207</v>
      </c>
    </row>
    <row r="6" spans="1:27" x14ac:dyDescent="0.2">
      <c r="A6" s="311"/>
      <c r="B6" s="92" t="s">
        <v>169</v>
      </c>
      <c r="C6" s="308"/>
      <c r="D6" s="142">
        <v>9918.27</v>
      </c>
      <c r="E6" s="142">
        <f>'IVC Nuova'!M4*12</f>
        <v>172.2</v>
      </c>
      <c r="F6" s="143">
        <f>6818.23</f>
        <v>6818.23</v>
      </c>
      <c r="G6" s="143">
        <f t="shared" ref="G6:G12" si="1">$C$5+D6+E6-F6</f>
        <v>31965.889999999996</v>
      </c>
      <c r="H6" s="300"/>
      <c r="I6" s="144">
        <f t="shared" ref="I6:I9" si="2">4271.77-3359.4</f>
        <v>912.37000000000035</v>
      </c>
      <c r="J6" s="300"/>
      <c r="K6" s="300"/>
      <c r="L6" s="145">
        <f t="shared" ref="L6:L32" si="3">ROUND((D6+E6)/12,2)</f>
        <v>840.87</v>
      </c>
      <c r="M6" s="142"/>
      <c r="N6" s="143">
        <f t="shared" si="0"/>
        <v>49604.7</v>
      </c>
      <c r="O6" s="143">
        <f t="shared" ref="O6:O12" si="4">ROUND(G6*$Y$4+$J$5*$Y$5+($H$5+I6)*$Y$6+($K$5+L6)*$Y$7+F6*$Y$8,2)</f>
        <v>16039.57</v>
      </c>
      <c r="P6" s="143">
        <f t="shared" ref="P6:P12" si="5">ROUND(N6*8.5%,0)</f>
        <v>4216</v>
      </c>
      <c r="Q6" s="143">
        <f t="shared" ref="Q6:Q12" si="6">N6+O6+P6</f>
        <v>69860.26999999999</v>
      </c>
      <c r="R6" s="146">
        <f>O6+P6</f>
        <v>20255.57</v>
      </c>
      <c r="S6" s="288"/>
      <c r="T6" s="84" t="s">
        <v>169</v>
      </c>
      <c r="U6" s="6">
        <f>Q6-'da genn a aprile 2024'!L6</f>
        <v>264.78999999997905</v>
      </c>
      <c r="V6" s="6"/>
      <c r="W6" s="6"/>
      <c r="X6" s="96" t="s">
        <v>203</v>
      </c>
      <c r="Y6" s="97">
        <v>0.29880000000000001</v>
      </c>
      <c r="Z6" s="283"/>
    </row>
    <row r="7" spans="1:27" x14ac:dyDescent="0.2">
      <c r="A7" s="311"/>
      <c r="B7" s="4" t="s">
        <v>170</v>
      </c>
      <c r="C7" s="308"/>
      <c r="D7" s="142">
        <v>8508.8999999999978</v>
      </c>
      <c r="E7" s="142">
        <f>'IVC Nuova'!M5*12</f>
        <v>172.2</v>
      </c>
      <c r="F7" s="143">
        <f>6818.23</f>
        <v>6818.23</v>
      </c>
      <c r="G7" s="143">
        <f t="shared" si="1"/>
        <v>30556.52</v>
      </c>
      <c r="H7" s="300"/>
      <c r="I7" s="144">
        <f t="shared" si="2"/>
        <v>912.37000000000035</v>
      </c>
      <c r="J7" s="300"/>
      <c r="K7" s="300"/>
      <c r="L7" s="145">
        <f t="shared" si="3"/>
        <v>723.43</v>
      </c>
      <c r="M7" s="142"/>
      <c r="N7" s="143">
        <f t="shared" si="0"/>
        <v>48077.89</v>
      </c>
      <c r="O7" s="143">
        <f t="shared" si="4"/>
        <v>15521.91</v>
      </c>
      <c r="P7" s="143">
        <f t="shared" si="5"/>
        <v>4087</v>
      </c>
      <c r="Q7" s="143">
        <f t="shared" si="6"/>
        <v>67686.8</v>
      </c>
      <c r="R7" s="146">
        <f>O7+P7</f>
        <v>19608.91</v>
      </c>
      <c r="S7" s="288"/>
      <c r="T7" s="6" t="s">
        <v>170</v>
      </c>
      <c r="U7" s="6">
        <f>Q7-'da genn a aprile 2024'!L7</f>
        <v>265.81000000001222</v>
      </c>
      <c r="X7" s="96" t="s">
        <v>202</v>
      </c>
      <c r="Y7" s="97">
        <v>0.29880000000000001</v>
      </c>
      <c r="Z7" s="283"/>
    </row>
    <row r="8" spans="1:27" x14ac:dyDescent="0.2">
      <c r="A8" s="311"/>
      <c r="B8" s="4" t="s">
        <v>171</v>
      </c>
      <c r="C8" s="308"/>
      <c r="D8" s="142">
        <v>7159.0000000000036</v>
      </c>
      <c r="E8" s="142">
        <f>'IVC Nuova'!M6*12</f>
        <v>172.2</v>
      </c>
      <c r="F8" s="143">
        <f>6818.23</f>
        <v>6818.23</v>
      </c>
      <c r="G8" s="143">
        <f t="shared" si="1"/>
        <v>29206.620000000006</v>
      </c>
      <c r="H8" s="300"/>
      <c r="I8" s="144">
        <f t="shared" si="2"/>
        <v>912.37000000000035</v>
      </c>
      <c r="J8" s="300"/>
      <c r="K8" s="300"/>
      <c r="L8" s="145">
        <f t="shared" si="3"/>
        <v>610.92999999999995</v>
      </c>
      <c r="M8" s="142"/>
      <c r="N8" s="143">
        <f t="shared" si="0"/>
        <v>46615.490000000005</v>
      </c>
      <c r="O8" s="143">
        <f t="shared" si="4"/>
        <v>15026.09</v>
      </c>
      <c r="P8" s="143">
        <f t="shared" si="5"/>
        <v>3962</v>
      </c>
      <c r="Q8" s="143">
        <f t="shared" si="6"/>
        <v>65603.58</v>
      </c>
      <c r="R8" s="146">
        <f t="shared" ref="R8:R32" si="7">O8+P8</f>
        <v>18988.09</v>
      </c>
      <c r="S8" s="288"/>
      <c r="T8" s="6" t="s">
        <v>171</v>
      </c>
      <c r="U8" s="6">
        <f>Q8-'da genn a aprile 2024'!L8</f>
        <v>265.80000000000291</v>
      </c>
      <c r="X8" s="96" t="s">
        <v>204</v>
      </c>
      <c r="Y8" s="97">
        <v>0.29880000000000001</v>
      </c>
      <c r="Z8" s="283"/>
    </row>
    <row r="9" spans="1:27" x14ac:dyDescent="0.2">
      <c r="A9" s="311"/>
      <c r="B9" s="92" t="s">
        <v>172</v>
      </c>
      <c r="C9" s="308"/>
      <c r="D9" s="142">
        <v>5702.619999999999</v>
      </c>
      <c r="E9" s="142">
        <f>'IVC Nuova'!M7*12</f>
        <v>172.2</v>
      </c>
      <c r="F9" s="143">
        <f>6818.23</f>
        <v>6818.23</v>
      </c>
      <c r="G9" s="143">
        <f t="shared" si="1"/>
        <v>27750.240000000002</v>
      </c>
      <c r="H9" s="300"/>
      <c r="I9" s="144">
        <f t="shared" si="2"/>
        <v>912.37000000000035</v>
      </c>
      <c r="J9" s="300"/>
      <c r="K9" s="300"/>
      <c r="L9" s="145">
        <f t="shared" si="3"/>
        <v>489.57</v>
      </c>
      <c r="M9" s="142"/>
      <c r="N9" s="143">
        <f t="shared" si="0"/>
        <v>45037.75</v>
      </c>
      <c r="O9" s="143">
        <f t="shared" si="4"/>
        <v>14491.17</v>
      </c>
      <c r="P9" s="143">
        <f t="shared" si="5"/>
        <v>3828</v>
      </c>
      <c r="Q9" s="143">
        <f t="shared" si="6"/>
        <v>63356.92</v>
      </c>
      <c r="R9" s="146">
        <f t="shared" si="7"/>
        <v>18319.169999999998</v>
      </c>
      <c r="S9" s="288"/>
      <c r="T9" s="84" t="s">
        <v>172</v>
      </c>
      <c r="U9" s="6">
        <f>Q9-'da genn a aprile 2024'!L9</f>
        <v>265.80000000000291</v>
      </c>
      <c r="X9" s="96" t="s">
        <v>205</v>
      </c>
      <c r="Y9" s="97">
        <v>8.5000000000000006E-2</v>
      </c>
      <c r="Z9" s="97">
        <v>8.5000000000000006E-2</v>
      </c>
    </row>
    <row r="10" spans="1:27" x14ac:dyDescent="0.2">
      <c r="A10" s="311"/>
      <c r="B10" s="4" t="s">
        <v>173</v>
      </c>
      <c r="C10" s="308"/>
      <c r="D10" s="142">
        <v>3318.7299999999996</v>
      </c>
      <c r="E10" s="142">
        <f>'IVC Nuova'!M8*12</f>
        <v>172.2</v>
      </c>
      <c r="F10" s="143">
        <f>6682.26</f>
        <v>6682.26</v>
      </c>
      <c r="G10" s="143">
        <f t="shared" si="1"/>
        <v>25502.32</v>
      </c>
      <c r="H10" s="300"/>
      <c r="I10" s="147"/>
      <c r="J10" s="308"/>
      <c r="K10" s="300"/>
      <c r="L10" s="145">
        <f t="shared" si="3"/>
        <v>290.91000000000003</v>
      </c>
      <c r="M10" s="142"/>
      <c r="N10" s="143">
        <f t="shared" si="0"/>
        <v>41542.83</v>
      </c>
      <c r="O10" s="143">
        <f t="shared" si="4"/>
        <v>13348.88</v>
      </c>
      <c r="P10" s="143">
        <f t="shared" si="5"/>
        <v>3531</v>
      </c>
      <c r="Q10" s="143">
        <f t="shared" si="6"/>
        <v>58422.71</v>
      </c>
      <c r="R10" s="146">
        <f t="shared" si="7"/>
        <v>16879.879999999997</v>
      </c>
      <c r="S10" s="288"/>
      <c r="T10" s="6" t="s">
        <v>173</v>
      </c>
      <c r="U10" s="6">
        <f>Q10-'da genn a aprile 2024'!L10</f>
        <v>265.80000000001019</v>
      </c>
    </row>
    <row r="11" spans="1:27" x14ac:dyDescent="0.2">
      <c r="A11" s="311"/>
      <c r="B11" s="4" t="s">
        <v>174</v>
      </c>
      <c r="C11" s="308"/>
      <c r="D11" s="142">
        <v>1703.3899999999994</v>
      </c>
      <c r="E11" s="142">
        <f>'IVC Nuova'!M9*12</f>
        <v>172.2</v>
      </c>
      <c r="F11" s="143">
        <f>6682.26</f>
        <v>6682.26</v>
      </c>
      <c r="G11" s="143">
        <f t="shared" si="1"/>
        <v>23886.980000000003</v>
      </c>
      <c r="H11" s="300"/>
      <c r="I11" s="147"/>
      <c r="J11" s="308"/>
      <c r="K11" s="300"/>
      <c r="L11" s="145">
        <f t="shared" si="3"/>
        <v>156.30000000000001</v>
      </c>
      <c r="M11" s="142"/>
      <c r="N11" s="143">
        <f t="shared" si="0"/>
        <v>39792.880000000005</v>
      </c>
      <c r="O11" s="143">
        <f t="shared" si="4"/>
        <v>12755.56</v>
      </c>
      <c r="P11" s="143">
        <f t="shared" si="5"/>
        <v>3382</v>
      </c>
      <c r="Q11" s="143">
        <f t="shared" si="6"/>
        <v>55930.44</v>
      </c>
      <c r="R11" s="146">
        <f t="shared" si="7"/>
        <v>16137.56</v>
      </c>
      <c r="S11" s="288"/>
      <c r="T11" s="6" t="s">
        <v>174</v>
      </c>
      <c r="U11" s="6">
        <f>Q11-'da genn a aprile 2024'!L11</f>
        <v>264.80000000001746</v>
      </c>
    </row>
    <row r="12" spans="1:27" ht="13.5" thickBot="1" x14ac:dyDescent="0.25">
      <c r="A12" s="312"/>
      <c r="B12" s="100" t="s">
        <v>175</v>
      </c>
      <c r="C12" s="309"/>
      <c r="D12" s="148">
        <v>0</v>
      </c>
      <c r="E12" s="148">
        <f>'IVC Nuova'!M10*12</f>
        <v>172.2</v>
      </c>
      <c r="F12" s="149">
        <f>6682.26</f>
        <v>6682.26</v>
      </c>
      <c r="G12" s="149">
        <f t="shared" si="1"/>
        <v>22183.590000000004</v>
      </c>
      <c r="H12" s="301"/>
      <c r="I12" s="150"/>
      <c r="J12" s="309"/>
      <c r="K12" s="301"/>
      <c r="L12" s="151">
        <f t="shared" si="3"/>
        <v>14.35</v>
      </c>
      <c r="M12" s="148"/>
      <c r="N12" s="149">
        <f t="shared" si="0"/>
        <v>37947.54</v>
      </c>
      <c r="O12" s="149">
        <f t="shared" si="4"/>
        <v>12129.91</v>
      </c>
      <c r="P12" s="149">
        <f t="shared" si="5"/>
        <v>3226</v>
      </c>
      <c r="Q12" s="149">
        <f t="shared" si="6"/>
        <v>53303.45</v>
      </c>
      <c r="R12" s="152">
        <f t="shared" si="7"/>
        <v>15355.91</v>
      </c>
      <c r="S12" s="289"/>
      <c r="T12" s="11" t="s">
        <v>175</v>
      </c>
      <c r="U12" s="6">
        <f>Q12-'da genn a aprile 2024'!L12</f>
        <v>265.80000000000291</v>
      </c>
    </row>
    <row r="13" spans="1:27" x14ac:dyDescent="0.2">
      <c r="A13" s="310" t="s">
        <v>163</v>
      </c>
      <c r="B13" s="99" t="s">
        <v>176</v>
      </c>
      <c r="C13" s="317">
        <v>25505.79</v>
      </c>
      <c r="D13" s="153">
        <v>7159.59</v>
      </c>
      <c r="E13" s="153">
        <f>'IVC Nuova'!M11*12</f>
        <v>153</v>
      </c>
      <c r="F13" s="154">
        <f>6545.24</f>
        <v>6545.24</v>
      </c>
      <c r="G13" s="154">
        <f>$C$13+D13+E13-F13</f>
        <v>26273.140000000007</v>
      </c>
      <c r="H13" s="302">
        <v>3026.46</v>
      </c>
      <c r="I13" s="155"/>
      <c r="J13" s="156"/>
      <c r="K13" s="302">
        <f>ROUND((C13)/12,2)</f>
        <v>2125.48</v>
      </c>
      <c r="L13" s="157">
        <f t="shared" si="3"/>
        <v>609.38</v>
      </c>
      <c r="M13" s="154"/>
      <c r="N13" s="154">
        <f>$C$13+D13+E13+$H$13+I13+$J$13+$K$13+L13</f>
        <v>38579.700000000004</v>
      </c>
      <c r="O13" s="154">
        <f>ROUND((N13)*$Z$4,2)</f>
        <v>11527.61</v>
      </c>
      <c r="P13" s="154">
        <f>ROUND(N13*8.5%,0)</f>
        <v>3279</v>
      </c>
      <c r="Q13" s="154">
        <f>N13+O13+P13</f>
        <v>53386.310000000005</v>
      </c>
      <c r="R13" s="158">
        <f>O13+P13</f>
        <v>14806.61</v>
      </c>
      <c r="S13" s="290" t="s">
        <v>163</v>
      </c>
      <c r="T13" s="84" t="s">
        <v>176</v>
      </c>
      <c r="U13" s="6">
        <f>Q13-'da genn a aprile 2024'!L13</f>
        <v>229.26000000000204</v>
      </c>
    </row>
    <row r="14" spans="1:27" x14ac:dyDescent="0.2">
      <c r="A14" s="311"/>
      <c r="B14" s="92" t="s">
        <v>177</v>
      </c>
      <c r="C14" s="318"/>
      <c r="D14" s="159">
        <v>6259.59</v>
      </c>
      <c r="E14" s="159">
        <f>'IVC Nuova'!M12*12</f>
        <v>153</v>
      </c>
      <c r="F14" s="160">
        <f t="shared" ref="F14:F20" si="8">6545.24</f>
        <v>6545.24</v>
      </c>
      <c r="G14" s="160">
        <f t="shared" ref="G14:G20" si="9">$C$13+D14+E14-F14</f>
        <v>25373.14</v>
      </c>
      <c r="H14" s="303"/>
      <c r="I14" s="161"/>
      <c r="J14" s="162"/>
      <c r="K14" s="303"/>
      <c r="L14" s="163">
        <f t="shared" si="3"/>
        <v>534.38</v>
      </c>
      <c r="M14" s="160"/>
      <c r="N14" s="160">
        <f t="shared" ref="N14:N20" si="10">$C$13+D14+E14+$H$13+I14+$J$13+$K$13+L14</f>
        <v>37604.700000000004</v>
      </c>
      <c r="O14" s="160">
        <f t="shared" ref="O14:O32" si="11">ROUND((N14)*$Z$4,2)</f>
        <v>11236.28</v>
      </c>
      <c r="P14" s="160">
        <f>ROUND(N14*8.5%,0)</f>
        <v>3196</v>
      </c>
      <c r="Q14" s="160">
        <f>N14+O14+P14</f>
        <v>52036.98</v>
      </c>
      <c r="R14" s="164">
        <f>O14+P14</f>
        <v>14432.28</v>
      </c>
      <c r="S14" s="291"/>
      <c r="T14" s="84" t="s">
        <v>177</v>
      </c>
      <c r="U14" s="6">
        <f>Q14-'da genn a aprile 2024'!L14</f>
        <v>229.26000000000204</v>
      </c>
    </row>
    <row r="15" spans="1:27" x14ac:dyDescent="0.2">
      <c r="A15" s="311"/>
      <c r="B15" s="4" t="s">
        <v>178</v>
      </c>
      <c r="C15" s="318"/>
      <c r="D15" s="159">
        <v>5203.2099999999991</v>
      </c>
      <c r="E15" s="159">
        <f>'IVC Nuova'!M13*12</f>
        <v>153</v>
      </c>
      <c r="F15" s="160">
        <f t="shared" si="8"/>
        <v>6545.24</v>
      </c>
      <c r="G15" s="160">
        <f t="shared" si="9"/>
        <v>24316.760000000002</v>
      </c>
      <c r="H15" s="303"/>
      <c r="I15" s="161"/>
      <c r="J15" s="162"/>
      <c r="K15" s="303"/>
      <c r="L15" s="163">
        <f t="shared" si="3"/>
        <v>446.35</v>
      </c>
      <c r="M15" s="160"/>
      <c r="N15" s="160">
        <f t="shared" si="10"/>
        <v>36460.29</v>
      </c>
      <c r="O15" s="160">
        <f t="shared" si="11"/>
        <v>10894.33</v>
      </c>
      <c r="P15" s="160">
        <f>ROUND(N15*8.5%,0)</f>
        <v>3099</v>
      </c>
      <c r="Q15" s="160">
        <f>N15+O15+P15</f>
        <v>50453.62</v>
      </c>
      <c r="R15" s="164">
        <f>O15+P15</f>
        <v>13993.33</v>
      </c>
      <c r="S15" s="291"/>
      <c r="T15" s="6" t="s">
        <v>178</v>
      </c>
      <c r="U15" s="6">
        <f>Q15-'da genn a aprile 2024'!L15</f>
        <v>229.27000000000407</v>
      </c>
    </row>
    <row r="16" spans="1:27" x14ac:dyDescent="0.2">
      <c r="A16" s="311"/>
      <c r="B16" s="4" t="s">
        <v>179</v>
      </c>
      <c r="C16" s="318"/>
      <c r="D16" s="159">
        <v>4189.2299999999996</v>
      </c>
      <c r="E16" s="159">
        <f>'IVC Nuova'!M14*12</f>
        <v>153</v>
      </c>
      <c r="F16" s="160">
        <f t="shared" si="8"/>
        <v>6545.24</v>
      </c>
      <c r="G16" s="160">
        <f t="shared" si="9"/>
        <v>23302.78</v>
      </c>
      <c r="H16" s="303"/>
      <c r="I16" s="161"/>
      <c r="J16" s="162"/>
      <c r="K16" s="303"/>
      <c r="L16" s="163">
        <f t="shared" si="3"/>
        <v>361.85</v>
      </c>
      <c r="M16" s="160"/>
      <c r="N16" s="160">
        <f t="shared" si="10"/>
        <v>35361.810000000005</v>
      </c>
      <c r="O16" s="160">
        <f>ROUND((N16)*$Z$4,2)</f>
        <v>10566.11</v>
      </c>
      <c r="P16" s="160">
        <f t="shared" ref="P16:P32" si="12">ROUND(N16*8.5%,0)</f>
        <v>3006</v>
      </c>
      <c r="Q16" s="160">
        <f t="shared" ref="Q16:Q32" si="13">N16+O16+P16</f>
        <v>48933.920000000006</v>
      </c>
      <c r="R16" s="164">
        <f t="shared" si="7"/>
        <v>13572.11</v>
      </c>
      <c r="S16" s="291"/>
      <c r="T16" s="6" t="s">
        <v>179</v>
      </c>
      <c r="U16" s="6">
        <f>Q16-'da genn a aprile 2024'!L16</f>
        <v>229.26000000000204</v>
      </c>
    </row>
    <row r="17" spans="1:23" x14ac:dyDescent="0.2">
      <c r="A17" s="311"/>
      <c r="B17" s="4" t="s">
        <v>180</v>
      </c>
      <c r="C17" s="318"/>
      <c r="D17" s="159">
        <v>3221.0099999999984</v>
      </c>
      <c r="E17" s="159">
        <f>'IVC Nuova'!M15*12</f>
        <v>153</v>
      </c>
      <c r="F17" s="160">
        <f t="shared" si="8"/>
        <v>6545.24</v>
      </c>
      <c r="G17" s="160">
        <f t="shared" si="9"/>
        <v>22334.559999999998</v>
      </c>
      <c r="H17" s="303"/>
      <c r="I17" s="161"/>
      <c r="J17" s="162"/>
      <c r="K17" s="303"/>
      <c r="L17" s="163">
        <f t="shared" si="3"/>
        <v>281.17</v>
      </c>
      <c r="M17" s="160"/>
      <c r="N17" s="160">
        <f t="shared" si="10"/>
        <v>34312.909999999996</v>
      </c>
      <c r="O17" s="160">
        <f t="shared" si="11"/>
        <v>10252.700000000001</v>
      </c>
      <c r="P17" s="160">
        <f t="shared" si="12"/>
        <v>2917</v>
      </c>
      <c r="Q17" s="160">
        <f t="shared" si="13"/>
        <v>47482.61</v>
      </c>
      <c r="R17" s="164">
        <f t="shared" si="7"/>
        <v>13169.7</v>
      </c>
      <c r="S17" s="291"/>
      <c r="T17" s="6" t="s">
        <v>180</v>
      </c>
      <c r="U17" s="6">
        <f>Q17-'da genn a aprile 2024'!L17</f>
        <v>229.27999999999884</v>
      </c>
    </row>
    <row r="18" spans="1:23" s="6" customFormat="1" x14ac:dyDescent="0.2">
      <c r="A18" s="311"/>
      <c r="B18" s="4" t="s">
        <v>181</v>
      </c>
      <c r="C18" s="318"/>
      <c r="D18" s="159">
        <v>1909.4599999999991</v>
      </c>
      <c r="E18" s="159">
        <f>'IVC Nuova'!M16*12</f>
        <v>153</v>
      </c>
      <c r="F18" s="160">
        <f t="shared" si="8"/>
        <v>6545.24</v>
      </c>
      <c r="G18" s="160">
        <f t="shared" si="9"/>
        <v>21023.010000000002</v>
      </c>
      <c r="H18" s="303"/>
      <c r="I18" s="161"/>
      <c r="J18" s="162"/>
      <c r="K18" s="303"/>
      <c r="L18" s="163">
        <f t="shared" si="3"/>
        <v>171.87</v>
      </c>
      <c r="M18" s="160"/>
      <c r="N18" s="160">
        <f t="shared" si="10"/>
        <v>32892.06</v>
      </c>
      <c r="O18" s="160">
        <f t="shared" si="11"/>
        <v>9828.15</v>
      </c>
      <c r="P18" s="160">
        <f t="shared" si="12"/>
        <v>2796</v>
      </c>
      <c r="Q18" s="160">
        <f t="shared" si="13"/>
        <v>45516.21</v>
      </c>
      <c r="R18" s="164">
        <f t="shared" si="7"/>
        <v>12624.15</v>
      </c>
      <c r="S18" s="291"/>
      <c r="T18" s="6" t="s">
        <v>181</v>
      </c>
      <c r="U18" s="6">
        <f>Q18-'da genn a aprile 2024'!L18</f>
        <v>229.27999999999884</v>
      </c>
    </row>
    <row r="19" spans="1:23" s="6" customFormat="1" x14ac:dyDescent="0.2">
      <c r="A19" s="311"/>
      <c r="B19" s="4" t="s">
        <v>182</v>
      </c>
      <c r="C19" s="318"/>
      <c r="D19" s="159">
        <v>908.88999999999942</v>
      </c>
      <c r="E19" s="159">
        <f>'IVC Nuova'!M17*12</f>
        <v>153</v>
      </c>
      <c r="F19" s="160">
        <f t="shared" si="8"/>
        <v>6545.24</v>
      </c>
      <c r="G19" s="160">
        <f t="shared" si="9"/>
        <v>20022.440000000002</v>
      </c>
      <c r="H19" s="303"/>
      <c r="I19" s="161"/>
      <c r="J19" s="162"/>
      <c r="K19" s="303"/>
      <c r="L19" s="163">
        <f t="shared" si="3"/>
        <v>88.49</v>
      </c>
      <c r="M19" s="160"/>
      <c r="N19" s="160">
        <f t="shared" si="10"/>
        <v>31808.11</v>
      </c>
      <c r="O19" s="160">
        <f t="shared" si="11"/>
        <v>9504.26</v>
      </c>
      <c r="P19" s="160">
        <f t="shared" si="12"/>
        <v>2704</v>
      </c>
      <c r="Q19" s="160">
        <f t="shared" si="13"/>
        <v>44016.37</v>
      </c>
      <c r="R19" s="164">
        <f t="shared" si="7"/>
        <v>12208.26</v>
      </c>
      <c r="S19" s="291"/>
      <c r="T19" s="6" t="s">
        <v>182</v>
      </c>
      <c r="U19" s="6">
        <f>Q19-'da genn a aprile 2024'!L19</f>
        <v>229.27000000000407</v>
      </c>
    </row>
    <row r="20" spans="1:23" s="6" customFormat="1" ht="13.5" thickBot="1" x14ac:dyDescent="0.25">
      <c r="A20" s="312"/>
      <c r="B20" s="100" t="s">
        <v>183</v>
      </c>
      <c r="C20" s="319"/>
      <c r="D20" s="165">
        <v>0</v>
      </c>
      <c r="E20" s="165">
        <f>'IVC Nuova'!M18*12</f>
        <v>153</v>
      </c>
      <c r="F20" s="166">
        <f t="shared" si="8"/>
        <v>6545.24</v>
      </c>
      <c r="G20" s="166">
        <f t="shared" si="9"/>
        <v>19113.550000000003</v>
      </c>
      <c r="H20" s="304"/>
      <c r="I20" s="167"/>
      <c r="J20" s="168"/>
      <c r="K20" s="304"/>
      <c r="L20" s="169">
        <f t="shared" si="3"/>
        <v>12.75</v>
      </c>
      <c r="M20" s="166"/>
      <c r="N20" s="166">
        <f t="shared" si="10"/>
        <v>30823.48</v>
      </c>
      <c r="O20" s="166">
        <f t="shared" si="11"/>
        <v>9210.06</v>
      </c>
      <c r="P20" s="166">
        <f t="shared" si="12"/>
        <v>2620</v>
      </c>
      <c r="Q20" s="166">
        <f t="shared" si="13"/>
        <v>42653.54</v>
      </c>
      <c r="R20" s="170">
        <f t="shared" si="7"/>
        <v>11830.06</v>
      </c>
      <c r="S20" s="292"/>
      <c r="T20" s="11" t="s">
        <v>183</v>
      </c>
      <c r="U20" s="6">
        <f>Q20-'da genn a aprile 2024'!L20</f>
        <v>229.27999999999884</v>
      </c>
      <c r="W20" s="6">
        <f>E20-E21</f>
        <v>18.840000000000003</v>
      </c>
    </row>
    <row r="21" spans="1:23" s="6" customFormat="1" x14ac:dyDescent="0.2">
      <c r="A21" s="310" t="s">
        <v>162</v>
      </c>
      <c r="B21" s="99" t="s">
        <v>184</v>
      </c>
      <c r="C21" s="320">
        <v>22358.04</v>
      </c>
      <c r="D21" s="171">
        <v>4821.8600000000006</v>
      </c>
      <c r="E21" s="171">
        <f>'IVC Nuova'!M19*12</f>
        <v>134.16</v>
      </c>
      <c r="F21" s="172">
        <f>6450.08</f>
        <v>6450.08</v>
      </c>
      <c r="G21" s="172">
        <f>$C$21+D21+E21-F21</f>
        <v>20863.980000000003</v>
      </c>
      <c r="H21" s="305">
        <v>2187.17</v>
      </c>
      <c r="I21" s="173"/>
      <c r="J21" s="174"/>
      <c r="K21" s="305">
        <f>ROUND((C21)/12,2)</f>
        <v>1863.17</v>
      </c>
      <c r="L21" s="175">
        <f t="shared" si="3"/>
        <v>413</v>
      </c>
      <c r="M21" s="172"/>
      <c r="N21" s="172">
        <f>$C$21+D21+E21+$H$21+I21+$J$21+$K$21+L21</f>
        <v>31777.4</v>
      </c>
      <c r="O21" s="172">
        <f t="shared" si="11"/>
        <v>9495.09</v>
      </c>
      <c r="P21" s="172">
        <f>ROUND(N21*8.5%,0)</f>
        <v>2701</v>
      </c>
      <c r="Q21" s="172">
        <f>N21+O21+P21</f>
        <v>43973.490000000005</v>
      </c>
      <c r="R21" s="176">
        <f>O21+P21</f>
        <v>12196.09</v>
      </c>
      <c r="S21" s="293" t="s">
        <v>162</v>
      </c>
      <c r="T21" s="84" t="s">
        <v>184</v>
      </c>
      <c r="U21" s="6">
        <f>Q21-'da genn a aprile 2024'!L21</f>
        <v>200.77000000000407</v>
      </c>
      <c r="W21" s="6">
        <f>W20*13</f>
        <v>244.92000000000004</v>
      </c>
    </row>
    <row r="22" spans="1:23" s="6" customFormat="1" x14ac:dyDescent="0.2">
      <c r="A22" s="311"/>
      <c r="B22" s="92" t="s">
        <v>185</v>
      </c>
      <c r="C22" s="321"/>
      <c r="D22" s="177">
        <v>4075.0200000000004</v>
      </c>
      <c r="E22" s="177">
        <f>'IVC Nuova'!M20*12</f>
        <v>134.16</v>
      </c>
      <c r="F22" s="178">
        <f>6450.08</f>
        <v>6450.08</v>
      </c>
      <c r="G22" s="178">
        <f t="shared" ref="G22:G27" si="14">$C$21+D22+E22-F22</f>
        <v>20117.14</v>
      </c>
      <c r="H22" s="306"/>
      <c r="I22" s="179"/>
      <c r="J22" s="180"/>
      <c r="K22" s="306"/>
      <c r="L22" s="181">
        <f t="shared" si="3"/>
        <v>350.77</v>
      </c>
      <c r="M22" s="178"/>
      <c r="N22" s="178">
        <f t="shared" ref="N22:N27" si="15">$C$21+D22+E22+$H$21+I22+$J$21+$K$21+L22</f>
        <v>30968.329999999998</v>
      </c>
      <c r="O22" s="178">
        <f t="shared" si="11"/>
        <v>9253.34</v>
      </c>
      <c r="P22" s="178">
        <f>ROUND(N22*8.5%,0)</f>
        <v>2632</v>
      </c>
      <c r="Q22" s="178">
        <f>N22+O22+P22</f>
        <v>42853.67</v>
      </c>
      <c r="R22" s="182">
        <f>O22+P22</f>
        <v>11885.34</v>
      </c>
      <c r="S22" s="294"/>
      <c r="T22" s="84" t="s">
        <v>185</v>
      </c>
      <c r="U22" s="6">
        <f>Q22-'da genn a aprile 2024'!L22</f>
        <v>200.77000000000407</v>
      </c>
    </row>
    <row r="23" spans="1:23" s="6" customFormat="1" x14ac:dyDescent="0.2">
      <c r="A23" s="311"/>
      <c r="B23" s="4" t="s">
        <v>186</v>
      </c>
      <c r="C23" s="321"/>
      <c r="D23" s="177">
        <v>3317.5200000000004</v>
      </c>
      <c r="E23" s="177">
        <f>'IVC Nuova'!M21*12</f>
        <v>134.16</v>
      </c>
      <c r="F23" s="178">
        <f>6450.08</f>
        <v>6450.08</v>
      </c>
      <c r="G23" s="178">
        <f t="shared" si="14"/>
        <v>19359.64</v>
      </c>
      <c r="H23" s="306"/>
      <c r="I23" s="179"/>
      <c r="J23" s="180"/>
      <c r="K23" s="306"/>
      <c r="L23" s="181">
        <f t="shared" si="3"/>
        <v>287.64</v>
      </c>
      <c r="M23" s="178"/>
      <c r="N23" s="178">
        <f t="shared" si="15"/>
        <v>30147.699999999997</v>
      </c>
      <c r="O23" s="178">
        <f t="shared" si="11"/>
        <v>9008.1299999999992</v>
      </c>
      <c r="P23" s="178">
        <f>ROUND(N23*8.5%,0)</f>
        <v>2563</v>
      </c>
      <c r="Q23" s="178">
        <f>N23+O23+P23</f>
        <v>41718.829999999994</v>
      </c>
      <c r="R23" s="182">
        <f>O23+P23</f>
        <v>11571.13</v>
      </c>
      <c r="S23" s="294"/>
      <c r="T23" s="6" t="s">
        <v>186</v>
      </c>
      <c r="U23" s="6">
        <f>Q23-'da genn a aprile 2024'!L23</f>
        <v>201.75999999999476</v>
      </c>
    </row>
    <row r="24" spans="1:23" s="6" customFormat="1" x14ac:dyDescent="0.2">
      <c r="A24" s="311"/>
      <c r="B24" s="4" t="s">
        <v>187</v>
      </c>
      <c r="C24" s="321"/>
      <c r="D24" s="177">
        <v>2577.7200000000012</v>
      </c>
      <c r="E24" s="177">
        <f>'IVC Nuova'!M22*12</f>
        <v>134.16</v>
      </c>
      <c r="F24" s="178">
        <f>6450.08</f>
        <v>6450.08</v>
      </c>
      <c r="G24" s="178">
        <f t="shared" si="14"/>
        <v>18619.840000000004</v>
      </c>
      <c r="H24" s="306"/>
      <c r="I24" s="179"/>
      <c r="J24" s="180"/>
      <c r="K24" s="306"/>
      <c r="L24" s="181">
        <f t="shared" si="3"/>
        <v>225.99</v>
      </c>
      <c r="M24" s="178"/>
      <c r="N24" s="178">
        <f t="shared" si="15"/>
        <v>29346.250000000004</v>
      </c>
      <c r="O24" s="178">
        <f t="shared" si="11"/>
        <v>8768.66</v>
      </c>
      <c r="P24" s="178">
        <f t="shared" si="12"/>
        <v>2494</v>
      </c>
      <c r="Q24" s="178">
        <f>N24+O24+P24</f>
        <v>40608.910000000003</v>
      </c>
      <c r="R24" s="182">
        <f t="shared" si="7"/>
        <v>11262.66</v>
      </c>
      <c r="S24" s="294"/>
      <c r="T24" s="6" t="s">
        <v>187</v>
      </c>
      <c r="U24" s="6">
        <f>Q24-'da genn a aprile 2024'!L24</f>
        <v>200.77000000000407</v>
      </c>
    </row>
    <row r="25" spans="1:23" s="6" customFormat="1" x14ac:dyDescent="0.2">
      <c r="A25" s="311"/>
      <c r="B25" s="92" t="s">
        <v>188</v>
      </c>
      <c r="C25" s="321"/>
      <c r="D25" s="177">
        <v>1878.4799999999996</v>
      </c>
      <c r="E25" s="177">
        <f>'IVC Nuova'!M23*12</f>
        <v>134.16</v>
      </c>
      <c r="F25" s="178">
        <f>6450.08</f>
        <v>6450.08</v>
      </c>
      <c r="G25" s="178">
        <f t="shared" si="14"/>
        <v>17920.599999999999</v>
      </c>
      <c r="H25" s="306"/>
      <c r="I25" s="179"/>
      <c r="J25" s="180"/>
      <c r="K25" s="306"/>
      <c r="L25" s="181">
        <f t="shared" si="3"/>
        <v>167.72</v>
      </c>
      <c r="M25" s="178"/>
      <c r="N25" s="178">
        <f t="shared" si="15"/>
        <v>28588.739999999998</v>
      </c>
      <c r="O25" s="178">
        <f t="shared" si="11"/>
        <v>8542.32</v>
      </c>
      <c r="P25" s="178">
        <f t="shared" si="12"/>
        <v>2430</v>
      </c>
      <c r="Q25" s="178">
        <f t="shared" si="13"/>
        <v>39561.06</v>
      </c>
      <c r="R25" s="182">
        <f t="shared" si="7"/>
        <v>10972.32</v>
      </c>
      <c r="S25" s="294"/>
      <c r="T25" s="84" t="s">
        <v>188</v>
      </c>
      <c r="U25" s="6">
        <f>Q25-'da genn a aprile 2024'!L25</f>
        <v>200.77000000000407</v>
      </c>
    </row>
    <row r="26" spans="1:23" s="6" customFormat="1" x14ac:dyDescent="0.2">
      <c r="A26" s="311"/>
      <c r="B26" s="4" t="s">
        <v>189</v>
      </c>
      <c r="C26" s="321"/>
      <c r="D26" s="177">
        <v>800.40000000000146</v>
      </c>
      <c r="E26" s="177">
        <f>'IVC Nuova'!M24*12</f>
        <v>134.16</v>
      </c>
      <c r="F26" s="178">
        <f>6372.64</f>
        <v>6372.64</v>
      </c>
      <c r="G26" s="178">
        <f t="shared" si="14"/>
        <v>16919.960000000003</v>
      </c>
      <c r="H26" s="306"/>
      <c r="I26" s="179"/>
      <c r="J26" s="180"/>
      <c r="K26" s="306"/>
      <c r="L26" s="181">
        <f t="shared" si="3"/>
        <v>77.88</v>
      </c>
      <c r="M26" s="178"/>
      <c r="N26" s="178">
        <f t="shared" si="15"/>
        <v>27420.820000000003</v>
      </c>
      <c r="O26" s="178">
        <f t="shared" si="11"/>
        <v>8193.34</v>
      </c>
      <c r="P26" s="178">
        <f t="shared" si="12"/>
        <v>2331</v>
      </c>
      <c r="Q26" s="178">
        <f t="shared" si="13"/>
        <v>37945.160000000003</v>
      </c>
      <c r="R26" s="182">
        <f t="shared" si="7"/>
        <v>10524.34</v>
      </c>
      <c r="S26" s="294"/>
      <c r="T26" s="6" t="s">
        <v>189</v>
      </c>
      <c r="U26" s="6">
        <f>Q26-'da genn a aprile 2024'!L26</f>
        <v>201.77000000000407</v>
      </c>
    </row>
    <row r="27" spans="1:23" s="6" customFormat="1" ht="13.5" thickBot="1" x14ac:dyDescent="0.25">
      <c r="A27" s="312"/>
      <c r="B27" s="5" t="s">
        <v>194</v>
      </c>
      <c r="C27" s="322"/>
      <c r="D27" s="183">
        <v>0</v>
      </c>
      <c r="E27" s="183">
        <f>'IVC Nuova'!M25*12</f>
        <v>134.16</v>
      </c>
      <c r="F27" s="184">
        <f>6372.64</f>
        <v>6372.64</v>
      </c>
      <c r="G27" s="184">
        <f t="shared" si="14"/>
        <v>16119.560000000001</v>
      </c>
      <c r="H27" s="307"/>
      <c r="I27" s="185"/>
      <c r="J27" s="186"/>
      <c r="K27" s="307"/>
      <c r="L27" s="187">
        <f t="shared" si="3"/>
        <v>11.18</v>
      </c>
      <c r="M27" s="184"/>
      <c r="N27" s="184">
        <f t="shared" si="15"/>
        <v>26553.72</v>
      </c>
      <c r="O27" s="184">
        <f t="shared" si="11"/>
        <v>7934.25</v>
      </c>
      <c r="P27" s="184">
        <f t="shared" si="12"/>
        <v>2257</v>
      </c>
      <c r="Q27" s="184">
        <f t="shared" si="13"/>
        <v>36744.97</v>
      </c>
      <c r="R27" s="188">
        <f t="shared" si="7"/>
        <v>10191.25</v>
      </c>
      <c r="S27" s="295"/>
      <c r="T27" s="6" t="s">
        <v>194</v>
      </c>
      <c r="U27" s="6">
        <f>Q27-'da genn a aprile 2024'!L27</f>
        <v>200.77000000000407</v>
      </c>
    </row>
    <row r="28" spans="1:23" s="6" customFormat="1" x14ac:dyDescent="0.2">
      <c r="A28" s="313" t="s">
        <v>161</v>
      </c>
      <c r="B28" s="99" t="s">
        <v>190</v>
      </c>
      <c r="C28" s="323">
        <v>21306.79</v>
      </c>
      <c r="D28" s="189">
        <v>2963.25</v>
      </c>
      <c r="E28" s="189">
        <f>'IVC Nuova'!M27*12</f>
        <v>127.80000000000001</v>
      </c>
      <c r="F28" s="190">
        <f>6332.96</f>
        <v>6332.96</v>
      </c>
      <c r="G28" s="190">
        <f>$C$28+D28+E28-F28</f>
        <v>18064.88</v>
      </c>
      <c r="H28" s="284">
        <v>1646.36</v>
      </c>
      <c r="I28" s="191"/>
      <c r="J28" s="192"/>
      <c r="K28" s="284">
        <f>ROUND((C28)/12,2)</f>
        <v>1775.57</v>
      </c>
      <c r="L28" s="193">
        <f t="shared" si="3"/>
        <v>257.58999999999997</v>
      </c>
      <c r="M28" s="190"/>
      <c r="N28" s="190">
        <f>$C$28+D28+E28+$H$28+I28+$J$28+$K$28+L28</f>
        <v>28077.360000000001</v>
      </c>
      <c r="O28" s="190">
        <f t="shared" si="11"/>
        <v>8389.52</v>
      </c>
      <c r="P28" s="190">
        <f>ROUND(N28*8.5%,0)</f>
        <v>2387</v>
      </c>
      <c r="Q28" s="190">
        <f>N28+O28+P28</f>
        <v>38853.880000000005</v>
      </c>
      <c r="R28" s="194">
        <f>O28+P28</f>
        <v>10776.52</v>
      </c>
      <c r="S28" s="296" t="s">
        <v>161</v>
      </c>
      <c r="T28" s="84" t="s">
        <v>190</v>
      </c>
      <c r="U28" s="6">
        <f>Q28-'da genn a aprile 2024'!L29</f>
        <v>191.84000000000378</v>
      </c>
    </row>
    <row r="29" spans="1:23" s="6" customFormat="1" ht="12" customHeight="1" x14ac:dyDescent="0.2">
      <c r="A29" s="314"/>
      <c r="B29" s="92" t="s">
        <v>191</v>
      </c>
      <c r="C29" s="324"/>
      <c r="D29" s="195">
        <v>2411.9300000000003</v>
      </c>
      <c r="E29" s="195">
        <f>'IVC Nuova'!M28*12</f>
        <v>127.80000000000001</v>
      </c>
      <c r="F29" s="196">
        <f>6332.96</f>
        <v>6332.96</v>
      </c>
      <c r="G29" s="196">
        <f t="shared" ref="G29:G32" si="16">$C$28+D29+E29-F29</f>
        <v>17513.560000000001</v>
      </c>
      <c r="H29" s="285"/>
      <c r="I29" s="197"/>
      <c r="J29" s="198"/>
      <c r="K29" s="285"/>
      <c r="L29" s="199">
        <f t="shared" si="3"/>
        <v>211.64</v>
      </c>
      <c r="M29" s="196"/>
      <c r="N29" s="196">
        <f t="shared" ref="N29:N31" si="17">$C$28+D29+E29+$H$28+I29+$J$28+$K$28+L29</f>
        <v>27480.09</v>
      </c>
      <c r="O29" s="196">
        <f t="shared" si="11"/>
        <v>8211.0499999999993</v>
      </c>
      <c r="P29" s="196">
        <f>ROUND(N29*8.5%,0)</f>
        <v>2336</v>
      </c>
      <c r="Q29" s="196">
        <f>N29+O29+P29</f>
        <v>38027.14</v>
      </c>
      <c r="R29" s="200">
        <f>O29+P29</f>
        <v>10547.05</v>
      </c>
      <c r="S29" s="297"/>
      <c r="T29" s="84" t="s">
        <v>191</v>
      </c>
      <c r="U29" s="6">
        <f>Q29-'da genn a aprile 2024'!L30</f>
        <v>191.81999999999243</v>
      </c>
    </row>
    <row r="30" spans="1:23" s="6" customFormat="1" ht="12" customHeight="1" x14ac:dyDescent="0.2">
      <c r="A30" s="314"/>
      <c r="B30" s="92" t="s">
        <v>192</v>
      </c>
      <c r="C30" s="324"/>
      <c r="D30" s="195">
        <v>1616.7499999999964</v>
      </c>
      <c r="E30" s="195">
        <f>'IVC Nuova'!M29*12</f>
        <v>127.80000000000001</v>
      </c>
      <c r="F30" s="196">
        <f>6332.96</f>
        <v>6332.96</v>
      </c>
      <c r="G30" s="196">
        <f t="shared" si="16"/>
        <v>16718.379999999997</v>
      </c>
      <c r="H30" s="285"/>
      <c r="I30" s="197"/>
      <c r="J30" s="198"/>
      <c r="K30" s="285"/>
      <c r="L30" s="199">
        <f t="shared" si="3"/>
        <v>145.38</v>
      </c>
      <c r="M30" s="196"/>
      <c r="N30" s="196">
        <f t="shared" si="17"/>
        <v>26618.649999999998</v>
      </c>
      <c r="O30" s="196">
        <f t="shared" si="11"/>
        <v>7953.65</v>
      </c>
      <c r="P30" s="196">
        <f>ROUND(N30*8.5%,0)</f>
        <v>2263</v>
      </c>
      <c r="Q30" s="196">
        <f>N30+O30+P30</f>
        <v>36835.299999999996</v>
      </c>
      <c r="R30" s="200">
        <f>O30+P30</f>
        <v>10216.65</v>
      </c>
      <c r="S30" s="297"/>
      <c r="T30" s="84" t="s">
        <v>192</v>
      </c>
      <c r="U30" s="6">
        <f>Q30-'da genn a aprile 2024'!L31</f>
        <v>191.81999999999971</v>
      </c>
    </row>
    <row r="31" spans="1:23" s="6" customFormat="1" x14ac:dyDescent="0.2">
      <c r="A31" s="314"/>
      <c r="B31" s="92" t="s">
        <v>193</v>
      </c>
      <c r="C31" s="324"/>
      <c r="D31" s="195">
        <v>845.61000000000058</v>
      </c>
      <c r="E31" s="195">
        <f>'IVC Nuova'!M30*12</f>
        <v>127.80000000000001</v>
      </c>
      <c r="F31" s="196">
        <f>6332.96</f>
        <v>6332.96</v>
      </c>
      <c r="G31" s="196">
        <f t="shared" si="16"/>
        <v>15947.240000000002</v>
      </c>
      <c r="H31" s="285"/>
      <c r="I31" s="197"/>
      <c r="J31" s="198"/>
      <c r="K31" s="285"/>
      <c r="L31" s="199">
        <f t="shared" si="3"/>
        <v>81.12</v>
      </c>
      <c r="M31" s="196"/>
      <c r="N31" s="196">
        <f t="shared" si="17"/>
        <v>25783.25</v>
      </c>
      <c r="O31" s="196">
        <f t="shared" si="11"/>
        <v>7704.04</v>
      </c>
      <c r="P31" s="196">
        <f t="shared" si="12"/>
        <v>2192</v>
      </c>
      <c r="Q31" s="196">
        <f t="shared" si="13"/>
        <v>35679.29</v>
      </c>
      <c r="R31" s="200">
        <f t="shared" si="7"/>
        <v>9896.0400000000009</v>
      </c>
      <c r="S31" s="297"/>
      <c r="T31" s="84" t="s">
        <v>193</v>
      </c>
      <c r="U31" s="6">
        <f>Q31-'da genn a aprile 2024'!L32</f>
        <v>191.84000000000378</v>
      </c>
    </row>
    <row r="32" spans="1:23" s="6" customFormat="1" ht="26.25" thickBot="1" x14ac:dyDescent="0.25">
      <c r="A32" s="315"/>
      <c r="B32" s="101" t="s">
        <v>195</v>
      </c>
      <c r="C32" s="325"/>
      <c r="D32" s="201">
        <v>0</v>
      </c>
      <c r="E32" s="201">
        <f>'IVC Nuova'!M31*12</f>
        <v>127.80000000000001</v>
      </c>
      <c r="F32" s="202">
        <f>6332.96</f>
        <v>6332.96</v>
      </c>
      <c r="G32" s="202">
        <f t="shared" si="16"/>
        <v>15101.630000000001</v>
      </c>
      <c r="H32" s="286"/>
      <c r="I32" s="203"/>
      <c r="J32" s="204"/>
      <c r="K32" s="286"/>
      <c r="L32" s="205">
        <f t="shared" si="3"/>
        <v>10.65</v>
      </c>
      <c r="M32" s="202"/>
      <c r="N32" s="202">
        <f>$C$28+D32+E32+$H$28+I32+$J$28+$K$28+L32</f>
        <v>24867.170000000002</v>
      </c>
      <c r="O32" s="202">
        <f t="shared" si="11"/>
        <v>7430.31</v>
      </c>
      <c r="P32" s="202">
        <f t="shared" si="12"/>
        <v>2114</v>
      </c>
      <c r="Q32" s="202">
        <f t="shared" si="13"/>
        <v>34411.480000000003</v>
      </c>
      <c r="R32" s="206">
        <f t="shared" si="7"/>
        <v>9544.3100000000013</v>
      </c>
      <c r="S32" s="298"/>
      <c r="T32" s="94" t="s">
        <v>195</v>
      </c>
      <c r="U32" s="6">
        <f>Q32-'da genn a aprile 2024'!L33</f>
        <v>191.81999999999971</v>
      </c>
    </row>
    <row r="35" spans="1:22" x14ac:dyDescent="0.2">
      <c r="I35" s="84"/>
    </row>
    <row r="36" spans="1:22" ht="18.75" x14ac:dyDescent="0.2">
      <c r="A36" s="2" t="s">
        <v>215</v>
      </c>
      <c r="P36" s="9"/>
      <c r="Q36" s="9"/>
      <c r="R36" s="9"/>
      <c r="S36" s="9"/>
      <c r="T36" s="9"/>
    </row>
    <row r="37" spans="1:22" x14ac:dyDescent="0.2">
      <c r="A37" s="10" t="s">
        <v>219</v>
      </c>
      <c r="B37" s="10"/>
      <c r="C37" s="10"/>
      <c r="E37" s="10"/>
      <c r="G37" s="10"/>
      <c r="H37" s="10"/>
      <c r="P37" s="9"/>
      <c r="Q37" s="9"/>
      <c r="R37" s="9"/>
      <c r="S37" s="9"/>
      <c r="T37" s="9"/>
    </row>
    <row r="38" spans="1:22" ht="13.5" thickBot="1" x14ac:dyDescent="0.25">
      <c r="P38" s="9"/>
      <c r="Q38" s="9"/>
      <c r="R38" s="14" t="s">
        <v>200</v>
      </c>
      <c r="S38" s="98" t="s">
        <v>79</v>
      </c>
      <c r="T38" s="88" t="s">
        <v>206</v>
      </c>
    </row>
    <row r="39" spans="1:22" ht="64.5" thickBot="1" x14ac:dyDescent="0.25">
      <c r="A39" s="130" t="s">
        <v>165</v>
      </c>
      <c r="B39" s="277" t="s">
        <v>166</v>
      </c>
      <c r="C39" s="277" t="s">
        <v>216</v>
      </c>
      <c r="D39" s="131" t="s">
        <v>35</v>
      </c>
      <c r="E39" s="131" t="s">
        <v>33</v>
      </c>
      <c r="F39" s="277" t="s">
        <v>42</v>
      </c>
      <c r="G39" s="131" t="s">
        <v>36</v>
      </c>
      <c r="H39" s="131" t="s">
        <v>208</v>
      </c>
      <c r="I39" s="131" t="s">
        <v>32</v>
      </c>
      <c r="J39" s="131" t="s">
        <v>37</v>
      </c>
      <c r="K39" s="131" t="s">
        <v>38</v>
      </c>
      <c r="L39" s="131" t="s">
        <v>39</v>
      </c>
      <c r="M39" s="131" t="s">
        <v>40</v>
      </c>
      <c r="N39" s="132" t="s">
        <v>165</v>
      </c>
      <c r="O39" s="127"/>
      <c r="P39" s="127"/>
      <c r="Q39" s="127"/>
      <c r="R39" s="128" t="s">
        <v>33</v>
      </c>
      <c r="S39" s="129">
        <v>0.34239999999999998</v>
      </c>
      <c r="T39" s="283">
        <v>0.29880000000000001</v>
      </c>
      <c r="U39" s="127"/>
      <c r="V39" s="127"/>
    </row>
    <row r="40" spans="1:22" ht="26.25" thickBot="1" x14ac:dyDescent="0.25">
      <c r="A40" s="102" t="s">
        <v>164</v>
      </c>
      <c r="B40" s="103">
        <v>28693.65</v>
      </c>
      <c r="C40" s="104">
        <f>E12</f>
        <v>172.2</v>
      </c>
      <c r="D40" s="105">
        <v>6682.26</v>
      </c>
      <c r="E40" s="105">
        <f>B40+C40-D40</f>
        <v>22183.590000000004</v>
      </c>
      <c r="F40" s="105">
        <v>3577.2</v>
      </c>
      <c r="G40" s="105">
        <v>3099</v>
      </c>
      <c r="H40" s="105">
        <f>ROUND((B40+C40)/12,2)</f>
        <v>2405.4899999999998</v>
      </c>
      <c r="I40" s="105">
        <f>B40+C40+F40+G40+H40</f>
        <v>37947.54</v>
      </c>
      <c r="J40" s="105">
        <f>ROUND(E40*$S$39+$G$40*$S$40+($F$40)*$S$41+($H$40)*$S$42+D40*$S$43,2)</f>
        <v>12129.91</v>
      </c>
      <c r="K40" s="105">
        <f>ROUND(I40*8.5%,0)</f>
        <v>3226</v>
      </c>
      <c r="L40" s="105">
        <f>I40+J40+K40</f>
        <v>53303.45</v>
      </c>
      <c r="M40" s="105">
        <f>J40+K40</f>
        <v>15355.91</v>
      </c>
      <c r="N40" s="106" t="s">
        <v>164</v>
      </c>
      <c r="O40" s="84"/>
      <c r="P40" s="9"/>
      <c r="Q40" s="9"/>
      <c r="R40" s="96" t="s">
        <v>201</v>
      </c>
      <c r="S40" s="97">
        <v>0.24199999999999999</v>
      </c>
      <c r="T40" s="283"/>
      <c r="U40" s="88" t="s">
        <v>207</v>
      </c>
    </row>
    <row r="41" spans="1:22" ht="13.5" thickBot="1" x14ac:dyDescent="0.25">
      <c r="A41" s="107" t="s">
        <v>163</v>
      </c>
      <c r="B41" s="108">
        <v>25505.79</v>
      </c>
      <c r="C41" s="109">
        <f>E20</f>
        <v>153</v>
      </c>
      <c r="D41" s="110">
        <f>6545.24</f>
        <v>6545.24</v>
      </c>
      <c r="E41" s="110">
        <f>B41+C41-D41</f>
        <v>19113.550000000003</v>
      </c>
      <c r="F41" s="110">
        <v>3026.46</v>
      </c>
      <c r="G41" s="110"/>
      <c r="H41" s="110">
        <f>ROUND((B41+C41)/12,2)</f>
        <v>2138.23</v>
      </c>
      <c r="I41" s="110">
        <f>B41+C41+F41+G41+H41</f>
        <v>30823.48</v>
      </c>
      <c r="J41" s="110">
        <f>ROUND((I41)*$T$39,2)</f>
        <v>9210.06</v>
      </c>
      <c r="K41" s="110">
        <f>ROUND(I41*8.5%,0)</f>
        <v>2620</v>
      </c>
      <c r="L41" s="110">
        <f>I41+J41+K41</f>
        <v>42653.54</v>
      </c>
      <c r="M41" s="110">
        <f>J41+K41</f>
        <v>11830.06</v>
      </c>
      <c r="N41" s="111" t="s">
        <v>163</v>
      </c>
      <c r="O41" s="84"/>
      <c r="P41" s="9"/>
      <c r="Q41" s="9"/>
      <c r="R41" s="96" t="s">
        <v>203</v>
      </c>
      <c r="S41" s="97">
        <v>0.29880000000000001</v>
      </c>
      <c r="T41" s="283"/>
    </row>
    <row r="42" spans="1:22" ht="13.5" thickBot="1" x14ac:dyDescent="0.25">
      <c r="A42" s="112" t="s">
        <v>162</v>
      </c>
      <c r="B42" s="113">
        <v>22358.04</v>
      </c>
      <c r="C42" s="114">
        <f>E27</f>
        <v>134.16</v>
      </c>
      <c r="D42" s="115">
        <f>6450.08</f>
        <v>6450.08</v>
      </c>
      <c r="E42" s="115">
        <f>B42+C42-D42</f>
        <v>16042.12</v>
      </c>
      <c r="F42" s="115">
        <v>2187.17</v>
      </c>
      <c r="G42" s="115"/>
      <c r="H42" s="115">
        <f>ROUND((B42+C42)/12,2)</f>
        <v>1874.35</v>
      </c>
      <c r="I42" s="115">
        <f>B42+C42+F42+G42+H42</f>
        <v>26553.72</v>
      </c>
      <c r="J42" s="115">
        <f>ROUND((I42)*$T$39,2)</f>
        <v>7934.25</v>
      </c>
      <c r="K42" s="115">
        <f>ROUND(I42*8.5%,0)</f>
        <v>2257</v>
      </c>
      <c r="L42" s="115">
        <f>I42+J42+K42</f>
        <v>36744.97</v>
      </c>
      <c r="M42" s="115">
        <f>J42+K42</f>
        <v>10191.25</v>
      </c>
      <c r="N42" s="116" t="s">
        <v>162</v>
      </c>
      <c r="O42" s="84"/>
      <c r="R42" s="96" t="s">
        <v>202</v>
      </c>
      <c r="S42" s="97">
        <v>0.29880000000000001</v>
      </c>
      <c r="T42" s="283"/>
      <c r="V42" s="6"/>
    </row>
    <row r="43" spans="1:22" ht="13.5" thickBot="1" x14ac:dyDescent="0.25">
      <c r="A43" s="117" t="s">
        <v>161</v>
      </c>
      <c r="B43" s="118">
        <v>21306.79</v>
      </c>
      <c r="C43" s="119">
        <f>E32</f>
        <v>127.80000000000001</v>
      </c>
      <c r="D43" s="120">
        <f>6332.96</f>
        <v>6332.96</v>
      </c>
      <c r="E43" s="120">
        <f>B43+C43-D43</f>
        <v>15101.630000000001</v>
      </c>
      <c r="F43" s="120">
        <v>1646.36</v>
      </c>
      <c r="G43" s="120"/>
      <c r="H43" s="120">
        <f>ROUND((B43+C43)/12,2)</f>
        <v>1786.22</v>
      </c>
      <c r="I43" s="120">
        <f>B43+C43+F43+G43+H43</f>
        <v>24867.170000000002</v>
      </c>
      <c r="J43" s="120">
        <f>ROUND((I43)*$T$39,2)</f>
        <v>7430.31</v>
      </c>
      <c r="K43" s="120">
        <f>ROUND(I43*8.5%,0)</f>
        <v>2114</v>
      </c>
      <c r="L43" s="120">
        <f>I43+J43+K43</f>
        <v>34411.480000000003</v>
      </c>
      <c r="M43" s="120">
        <f>J43+K43</f>
        <v>9544.3100000000013</v>
      </c>
      <c r="N43" s="121" t="s">
        <v>161</v>
      </c>
      <c r="O43" s="84"/>
      <c r="R43" s="96" t="s">
        <v>204</v>
      </c>
      <c r="S43" s="97">
        <v>0.29880000000000001</v>
      </c>
      <c r="T43" s="283"/>
      <c r="V43" s="6"/>
    </row>
    <row r="44" spans="1:22" x14ac:dyDescent="0.2">
      <c r="P44" s="9"/>
      <c r="Q44" s="9"/>
      <c r="R44" s="96" t="s">
        <v>205</v>
      </c>
      <c r="S44" s="97">
        <v>8.5000000000000006E-2</v>
      </c>
      <c r="T44" s="97">
        <v>8.5000000000000006E-2</v>
      </c>
    </row>
    <row r="45" spans="1:22" x14ac:dyDescent="0.2">
      <c r="P45" s="9"/>
      <c r="Q45" s="9"/>
      <c r="R45" s="9"/>
      <c r="S45" s="9"/>
      <c r="T45" s="9"/>
    </row>
  </sheetData>
  <mergeCells count="23">
    <mergeCell ref="T39:T43"/>
    <mergeCell ref="Z4:Z8"/>
    <mergeCell ref="A5:A12"/>
    <mergeCell ref="C5:C12"/>
    <mergeCell ref="H5:H12"/>
    <mergeCell ref="J5:J12"/>
    <mergeCell ref="K5:K12"/>
    <mergeCell ref="S5:S12"/>
    <mergeCell ref="A21:A27"/>
    <mergeCell ref="C21:C27"/>
    <mergeCell ref="H21:H27"/>
    <mergeCell ref="K21:K27"/>
    <mergeCell ref="S21:S27"/>
    <mergeCell ref="A13:A20"/>
    <mergeCell ref="C13:C20"/>
    <mergeCell ref="H13:H20"/>
    <mergeCell ref="K13:K20"/>
    <mergeCell ref="S13:S20"/>
    <mergeCell ref="A28:A32"/>
    <mergeCell ref="C28:C32"/>
    <mergeCell ref="H28:H32"/>
    <mergeCell ref="K28:K32"/>
    <mergeCell ref="S28:S32"/>
  </mergeCells>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B33E-9BF5-40C9-832F-6E69D2C320BC}">
  <dimension ref="A1:AA49"/>
  <sheetViews>
    <sheetView tabSelected="1" zoomScaleNormal="100" workbookViewId="0">
      <selection activeCell="L8" sqref="L8"/>
    </sheetView>
  </sheetViews>
  <sheetFormatPr defaultRowHeight="12.75" x14ac:dyDescent="0.2"/>
  <cols>
    <col min="1" max="1" width="20.140625" style="9" customWidth="1"/>
    <col min="2" max="2" width="13.5703125" style="6" bestFit="1" customWidth="1"/>
    <col min="3" max="5" width="11.42578125" style="6" customWidth="1"/>
    <col min="6" max="6" width="9.140625" style="6" customWidth="1"/>
    <col min="7" max="7" width="11.5703125" style="6" customWidth="1"/>
    <col min="8" max="8" width="9.42578125" style="6" bestFit="1" customWidth="1"/>
    <col min="9" max="9" width="13" style="6" customWidth="1"/>
    <col min="10" max="11" width="11.5703125" style="6" customWidth="1"/>
    <col min="12" max="12" width="12.5703125" style="6" customWidth="1"/>
    <col min="13" max="13" width="11.5703125" style="6" customWidth="1"/>
    <col min="14" max="14" width="14.85546875" style="6" customWidth="1"/>
    <col min="15" max="15" width="10.7109375" style="6" customWidth="1"/>
    <col min="16" max="16" width="12" style="6" customWidth="1"/>
    <col min="17" max="18" width="10.7109375" style="6" customWidth="1"/>
    <col min="19" max="19" width="14.42578125" style="6" customWidth="1"/>
    <col min="20" max="20" width="13.85546875" style="6" customWidth="1"/>
    <col min="21" max="16384" width="9.140625" style="9"/>
  </cols>
  <sheetData>
    <row r="1" spans="1:27" ht="18.75" x14ac:dyDescent="0.2">
      <c r="A1" s="2" t="s">
        <v>217</v>
      </c>
      <c r="B1" s="2"/>
    </row>
    <row r="2" spans="1:27" x14ac:dyDescent="0.2">
      <c r="A2" s="10" t="s">
        <v>220</v>
      </c>
      <c r="B2" s="10"/>
      <c r="C2" s="10"/>
      <c r="D2" s="10"/>
      <c r="E2" s="10"/>
      <c r="G2" s="10"/>
      <c r="J2" s="10"/>
      <c r="K2" s="10"/>
      <c r="L2" s="10"/>
      <c r="M2" s="10"/>
    </row>
    <row r="3" spans="1:27" ht="13.5" thickBot="1" x14ac:dyDescent="0.25">
      <c r="B3" s="11"/>
      <c r="X3" s="14" t="s">
        <v>200</v>
      </c>
      <c r="Y3" s="98" t="s">
        <v>79</v>
      </c>
      <c r="Z3" s="88" t="s">
        <v>206</v>
      </c>
    </row>
    <row r="4" spans="1:27" s="127" customFormat="1" ht="64.5" thickBot="1" x14ac:dyDescent="0.25">
      <c r="A4" s="122" t="s">
        <v>165</v>
      </c>
      <c r="B4" s="123"/>
      <c r="C4" s="276" t="s">
        <v>166</v>
      </c>
      <c r="D4" s="124" t="s">
        <v>196</v>
      </c>
      <c r="E4" s="276" t="s">
        <v>216</v>
      </c>
      <c r="F4" s="123" t="s">
        <v>35</v>
      </c>
      <c r="G4" s="123" t="s">
        <v>33</v>
      </c>
      <c r="H4" s="278" t="s">
        <v>42</v>
      </c>
      <c r="I4" s="123" t="s">
        <v>197</v>
      </c>
      <c r="J4" s="123" t="s">
        <v>36</v>
      </c>
      <c r="K4" s="123" t="s">
        <v>198</v>
      </c>
      <c r="L4" s="123" t="s">
        <v>199</v>
      </c>
      <c r="M4" s="123"/>
      <c r="N4" s="123" t="s">
        <v>32</v>
      </c>
      <c r="O4" s="123" t="s">
        <v>37</v>
      </c>
      <c r="P4" s="123" t="s">
        <v>38</v>
      </c>
      <c r="Q4" s="123" t="s">
        <v>39</v>
      </c>
      <c r="R4" s="125" t="s">
        <v>40</v>
      </c>
      <c r="S4" s="126" t="s">
        <v>165</v>
      </c>
      <c r="X4" s="128" t="s">
        <v>33</v>
      </c>
      <c r="Y4" s="129">
        <v>0.34239999999999998</v>
      </c>
      <c r="Z4" s="283">
        <v>0.29880000000000001</v>
      </c>
    </row>
    <row r="5" spans="1:27" ht="25.5" customHeight="1" x14ac:dyDescent="0.2">
      <c r="A5" s="310" t="s">
        <v>164</v>
      </c>
      <c r="B5" s="99" t="s">
        <v>168</v>
      </c>
      <c r="C5" s="316">
        <v>28693.65</v>
      </c>
      <c r="D5" s="137">
        <v>11018.27</v>
      </c>
      <c r="E5" s="137">
        <f>'IVC Nuova'!N3*12</f>
        <v>286.92</v>
      </c>
      <c r="F5" s="138">
        <f>6818.23</f>
        <v>6818.23</v>
      </c>
      <c r="G5" s="138">
        <f>$C$5+D5+E5-F5</f>
        <v>33180.61</v>
      </c>
      <c r="H5" s="299">
        <v>3577.2</v>
      </c>
      <c r="I5" s="139">
        <f>4271.77-3359.4</f>
        <v>912.37000000000035</v>
      </c>
      <c r="J5" s="299">
        <v>3099</v>
      </c>
      <c r="K5" s="299">
        <f>ROUND((C5)/12,2)</f>
        <v>2391.14</v>
      </c>
      <c r="L5" s="140">
        <f>ROUND((D5+E5)/12,2)</f>
        <v>942.1</v>
      </c>
      <c r="M5" s="137"/>
      <c r="N5" s="138">
        <f t="shared" ref="N5:N12" si="0">$C$5+D5+E5+$H$5+I5+$J$5+$K$5+L5</f>
        <v>50920.649999999994</v>
      </c>
      <c r="O5" s="138">
        <f>ROUND(G5*$Y$4+$J$5*$Y$5+($H$5+I5)*$Y$6+($K$5+L5)*$Y$7+F5*$Y$8,2)</f>
        <v>16485.740000000002</v>
      </c>
      <c r="P5" s="138">
        <f>ROUND(N5*8.5%,0)</f>
        <v>4328</v>
      </c>
      <c r="Q5" s="138">
        <f>N5+O5+P5</f>
        <v>71734.39</v>
      </c>
      <c r="R5" s="141">
        <f>O5+P5</f>
        <v>20813.740000000002</v>
      </c>
      <c r="S5" s="332" t="s">
        <v>164</v>
      </c>
      <c r="T5" s="84" t="s">
        <v>168</v>
      </c>
      <c r="U5" s="6">
        <f>Q5-'da genn a aprile 2024'!L5</f>
        <v>442.2100000000064</v>
      </c>
      <c r="X5" s="96" t="s">
        <v>201</v>
      </c>
      <c r="Y5" s="97">
        <v>0.24199999999999999</v>
      </c>
      <c r="Z5" s="283"/>
      <c r="AA5" s="88" t="s">
        <v>207</v>
      </c>
    </row>
    <row r="6" spans="1:27" x14ac:dyDescent="0.2">
      <c r="A6" s="311"/>
      <c r="B6" s="92" t="s">
        <v>169</v>
      </c>
      <c r="C6" s="308"/>
      <c r="D6" s="142">
        <v>9918.27</v>
      </c>
      <c r="E6" s="142">
        <v>286.92</v>
      </c>
      <c r="F6" s="143">
        <f>6818.23</f>
        <v>6818.23</v>
      </c>
      <c r="G6" s="143">
        <f t="shared" ref="G6:G12" si="1">$C$5+D6+E6-F6</f>
        <v>32080.609999999997</v>
      </c>
      <c r="H6" s="300"/>
      <c r="I6" s="144">
        <f t="shared" ref="I6:I9" si="2">4271.77-3359.4</f>
        <v>912.37000000000035</v>
      </c>
      <c r="J6" s="300"/>
      <c r="K6" s="300"/>
      <c r="L6" s="145">
        <f t="shared" ref="L6:L32" si="3">ROUND((D6+E6)/12,2)</f>
        <v>850.43</v>
      </c>
      <c r="M6" s="142"/>
      <c r="N6" s="143">
        <f t="shared" si="0"/>
        <v>49728.979999999996</v>
      </c>
      <c r="O6" s="143">
        <f t="shared" ref="O6:O12" si="4">ROUND(G6*$Y$4+$J$5*$Y$5+($H$5+I6)*$Y$6+($K$5+L6)*$Y$7+F6*$Y$8,2)</f>
        <v>16081.71</v>
      </c>
      <c r="P6" s="143">
        <f t="shared" ref="P6:P12" si="5">ROUND(N6*8.5%,0)</f>
        <v>4227</v>
      </c>
      <c r="Q6" s="143">
        <f t="shared" ref="Q6:Q12" si="6">N6+O6+P6</f>
        <v>70037.69</v>
      </c>
      <c r="R6" s="146">
        <f>O6+P6</f>
        <v>20308.71</v>
      </c>
      <c r="S6" s="333"/>
      <c r="T6" s="84" t="s">
        <v>169</v>
      </c>
      <c r="U6" s="6">
        <f>Q6-'da genn a aprile 2024'!L6</f>
        <v>442.20999999999185</v>
      </c>
      <c r="V6" s="6"/>
      <c r="W6" s="6"/>
      <c r="X6" s="96" t="s">
        <v>203</v>
      </c>
      <c r="Y6" s="97">
        <v>0.29880000000000001</v>
      </c>
      <c r="Z6" s="283"/>
    </row>
    <row r="7" spans="1:27" x14ac:dyDescent="0.2">
      <c r="A7" s="311"/>
      <c r="B7" s="4" t="s">
        <v>170</v>
      </c>
      <c r="C7" s="308"/>
      <c r="D7" s="142">
        <v>8508.8999999999978</v>
      </c>
      <c r="E7" s="142">
        <v>286.92</v>
      </c>
      <c r="F7" s="143">
        <f>6818.23</f>
        <v>6818.23</v>
      </c>
      <c r="G7" s="143">
        <f t="shared" si="1"/>
        <v>30671.24</v>
      </c>
      <c r="H7" s="300"/>
      <c r="I7" s="144">
        <f t="shared" si="2"/>
        <v>912.37000000000035</v>
      </c>
      <c r="J7" s="300"/>
      <c r="K7" s="300"/>
      <c r="L7" s="145">
        <f t="shared" si="3"/>
        <v>732.99</v>
      </c>
      <c r="M7" s="142"/>
      <c r="N7" s="143">
        <f t="shared" si="0"/>
        <v>48202.17</v>
      </c>
      <c r="O7" s="143">
        <f t="shared" si="4"/>
        <v>15564.05</v>
      </c>
      <c r="P7" s="143">
        <f t="shared" si="5"/>
        <v>4097</v>
      </c>
      <c r="Q7" s="143">
        <f t="shared" si="6"/>
        <v>67863.22</v>
      </c>
      <c r="R7" s="146">
        <f>O7+P7</f>
        <v>19661.05</v>
      </c>
      <c r="S7" s="333"/>
      <c r="T7" s="6" t="s">
        <v>170</v>
      </c>
      <c r="U7" s="6">
        <f>Q7-'da genn a aprile 2024'!L7</f>
        <v>442.23000000001048</v>
      </c>
      <c r="X7" s="96" t="s">
        <v>202</v>
      </c>
      <c r="Y7" s="97">
        <v>0.29880000000000001</v>
      </c>
      <c r="Z7" s="283"/>
    </row>
    <row r="8" spans="1:27" x14ac:dyDescent="0.2">
      <c r="A8" s="311"/>
      <c r="B8" s="4" t="s">
        <v>171</v>
      </c>
      <c r="C8" s="308"/>
      <c r="D8" s="142">
        <v>7159.0000000000036</v>
      </c>
      <c r="E8" s="142">
        <v>286.92</v>
      </c>
      <c r="F8" s="143">
        <f>6818.23</f>
        <v>6818.23</v>
      </c>
      <c r="G8" s="143">
        <f t="shared" si="1"/>
        <v>29321.340000000007</v>
      </c>
      <c r="H8" s="300"/>
      <c r="I8" s="144">
        <f t="shared" si="2"/>
        <v>912.37000000000035</v>
      </c>
      <c r="J8" s="300"/>
      <c r="K8" s="300"/>
      <c r="L8" s="145">
        <f t="shared" si="3"/>
        <v>620.49</v>
      </c>
      <c r="M8" s="142"/>
      <c r="N8" s="143">
        <f t="shared" si="0"/>
        <v>46739.770000000004</v>
      </c>
      <c r="O8" s="143">
        <f t="shared" si="4"/>
        <v>15068.23</v>
      </c>
      <c r="P8" s="143">
        <f t="shared" si="5"/>
        <v>3973</v>
      </c>
      <c r="Q8" s="143">
        <f t="shared" si="6"/>
        <v>65781</v>
      </c>
      <c r="R8" s="146">
        <f t="shared" ref="R8:R32" si="7">O8+P8</f>
        <v>19041.23</v>
      </c>
      <c r="S8" s="333"/>
      <c r="T8" s="6" t="s">
        <v>171</v>
      </c>
      <c r="U8" s="6">
        <f>Q8-'da genn a aprile 2024'!L8</f>
        <v>443.22000000000116</v>
      </c>
      <c r="X8" s="96" t="s">
        <v>204</v>
      </c>
      <c r="Y8" s="97">
        <v>0.29880000000000001</v>
      </c>
      <c r="Z8" s="283"/>
    </row>
    <row r="9" spans="1:27" x14ac:dyDescent="0.2">
      <c r="A9" s="311"/>
      <c r="B9" s="92" t="s">
        <v>172</v>
      </c>
      <c r="C9" s="308"/>
      <c r="D9" s="142">
        <v>5702.619999999999</v>
      </c>
      <c r="E9" s="142">
        <v>286.92</v>
      </c>
      <c r="F9" s="143">
        <f>6818.23</f>
        <v>6818.23</v>
      </c>
      <c r="G9" s="143">
        <f t="shared" si="1"/>
        <v>27864.960000000003</v>
      </c>
      <c r="H9" s="300"/>
      <c r="I9" s="144">
        <f t="shared" si="2"/>
        <v>912.37000000000035</v>
      </c>
      <c r="J9" s="300"/>
      <c r="K9" s="300"/>
      <c r="L9" s="145">
        <f t="shared" si="3"/>
        <v>499.13</v>
      </c>
      <c r="M9" s="142"/>
      <c r="N9" s="143">
        <f t="shared" si="0"/>
        <v>45162.03</v>
      </c>
      <c r="O9" s="143">
        <f t="shared" si="4"/>
        <v>14533.3</v>
      </c>
      <c r="P9" s="143">
        <f t="shared" si="5"/>
        <v>3839</v>
      </c>
      <c r="Q9" s="143">
        <f t="shared" si="6"/>
        <v>63534.33</v>
      </c>
      <c r="R9" s="146">
        <f t="shared" si="7"/>
        <v>18372.3</v>
      </c>
      <c r="S9" s="333"/>
      <c r="T9" s="84" t="s">
        <v>172</v>
      </c>
      <c r="U9" s="6">
        <f>Q9-'da genn a aprile 2024'!L9</f>
        <v>443.2100000000064</v>
      </c>
      <c r="X9" s="96" t="s">
        <v>205</v>
      </c>
      <c r="Y9" s="97">
        <v>8.5000000000000006E-2</v>
      </c>
      <c r="Z9" s="97">
        <v>8.5000000000000006E-2</v>
      </c>
    </row>
    <row r="10" spans="1:27" x14ac:dyDescent="0.2">
      <c r="A10" s="311"/>
      <c r="B10" s="4" t="s">
        <v>173</v>
      </c>
      <c r="C10" s="308"/>
      <c r="D10" s="142">
        <v>3318.7299999999996</v>
      </c>
      <c r="E10" s="142">
        <v>286.92</v>
      </c>
      <c r="F10" s="143">
        <f>6682.26</f>
        <v>6682.26</v>
      </c>
      <c r="G10" s="143">
        <f t="shared" si="1"/>
        <v>25617.040000000001</v>
      </c>
      <c r="H10" s="300"/>
      <c r="I10" s="147"/>
      <c r="J10" s="308"/>
      <c r="K10" s="300"/>
      <c r="L10" s="145">
        <f t="shared" si="3"/>
        <v>300.47000000000003</v>
      </c>
      <c r="M10" s="142"/>
      <c r="N10" s="143">
        <f t="shared" si="0"/>
        <v>41667.11</v>
      </c>
      <c r="O10" s="143">
        <f t="shared" si="4"/>
        <v>13391.01</v>
      </c>
      <c r="P10" s="143">
        <f t="shared" si="5"/>
        <v>3542</v>
      </c>
      <c r="Q10" s="143">
        <f t="shared" si="6"/>
        <v>58600.12</v>
      </c>
      <c r="R10" s="146">
        <f t="shared" si="7"/>
        <v>16933.010000000002</v>
      </c>
      <c r="S10" s="333"/>
      <c r="T10" s="6" t="s">
        <v>173</v>
      </c>
      <c r="U10" s="6">
        <f>Q10-'da genn a aprile 2024'!L10</f>
        <v>443.21000000001368</v>
      </c>
    </row>
    <row r="11" spans="1:27" x14ac:dyDescent="0.2">
      <c r="A11" s="311"/>
      <c r="B11" s="4" t="s">
        <v>174</v>
      </c>
      <c r="C11" s="308"/>
      <c r="D11" s="142">
        <v>1703.3899999999994</v>
      </c>
      <c r="E11" s="142">
        <v>286.92</v>
      </c>
      <c r="F11" s="143">
        <f>6682.26</f>
        <v>6682.26</v>
      </c>
      <c r="G11" s="143">
        <f t="shared" si="1"/>
        <v>24001.699999999997</v>
      </c>
      <c r="H11" s="300"/>
      <c r="I11" s="147"/>
      <c r="J11" s="308"/>
      <c r="K11" s="300"/>
      <c r="L11" s="145">
        <f t="shared" si="3"/>
        <v>165.86</v>
      </c>
      <c r="M11" s="142"/>
      <c r="N11" s="143">
        <f t="shared" si="0"/>
        <v>39917.159999999996</v>
      </c>
      <c r="O11" s="143">
        <f t="shared" si="4"/>
        <v>12797.7</v>
      </c>
      <c r="P11" s="143">
        <f t="shared" si="5"/>
        <v>3393</v>
      </c>
      <c r="Q11" s="143">
        <f t="shared" si="6"/>
        <v>56107.86</v>
      </c>
      <c r="R11" s="146">
        <f t="shared" si="7"/>
        <v>16190.7</v>
      </c>
      <c r="S11" s="333"/>
      <c r="T11" s="6" t="s">
        <v>174</v>
      </c>
      <c r="U11" s="6">
        <f>Q11-'da genn a aprile 2024'!L11</f>
        <v>442.22000000001572</v>
      </c>
    </row>
    <row r="12" spans="1:27" ht="13.5" thickBot="1" x14ac:dyDescent="0.25">
      <c r="A12" s="312"/>
      <c r="B12" s="100" t="s">
        <v>175</v>
      </c>
      <c r="C12" s="309"/>
      <c r="D12" s="148">
        <v>0</v>
      </c>
      <c r="E12" s="148">
        <v>286.92</v>
      </c>
      <c r="F12" s="149">
        <f>6682.26</f>
        <v>6682.26</v>
      </c>
      <c r="G12" s="149">
        <f t="shared" si="1"/>
        <v>22298.309999999998</v>
      </c>
      <c r="H12" s="301"/>
      <c r="I12" s="150"/>
      <c r="J12" s="309"/>
      <c r="K12" s="301"/>
      <c r="L12" s="151">
        <f t="shared" si="3"/>
        <v>23.91</v>
      </c>
      <c r="M12" s="148"/>
      <c r="N12" s="149">
        <f t="shared" si="0"/>
        <v>38071.820000000007</v>
      </c>
      <c r="O12" s="149">
        <f t="shared" si="4"/>
        <v>12172.04</v>
      </c>
      <c r="P12" s="149">
        <f t="shared" si="5"/>
        <v>3236</v>
      </c>
      <c r="Q12" s="149">
        <f t="shared" si="6"/>
        <v>53479.860000000008</v>
      </c>
      <c r="R12" s="152">
        <f t="shared" si="7"/>
        <v>15408.04</v>
      </c>
      <c r="S12" s="334"/>
      <c r="T12" s="11" t="s">
        <v>175</v>
      </c>
      <c r="U12" s="6">
        <f>Q12-'da genn a aprile 2024'!L12</f>
        <v>442.21000000001368</v>
      </c>
    </row>
    <row r="13" spans="1:27" x14ac:dyDescent="0.2">
      <c r="A13" s="310" t="s">
        <v>163</v>
      </c>
      <c r="B13" s="99" t="s">
        <v>176</v>
      </c>
      <c r="C13" s="317">
        <v>25505.79</v>
      </c>
      <c r="D13" s="153">
        <v>7159.59</v>
      </c>
      <c r="E13" s="153">
        <f>'IVC Nuova'!N11*12</f>
        <v>255</v>
      </c>
      <c r="F13" s="154">
        <f>6545.24</f>
        <v>6545.24</v>
      </c>
      <c r="G13" s="154">
        <f>$C$13+D13+E13-F13</f>
        <v>26375.140000000007</v>
      </c>
      <c r="H13" s="302">
        <v>3026.46</v>
      </c>
      <c r="I13" s="155"/>
      <c r="J13" s="156"/>
      <c r="K13" s="302">
        <f>ROUND((C13)/12,2)</f>
        <v>2125.48</v>
      </c>
      <c r="L13" s="157">
        <f t="shared" si="3"/>
        <v>617.88</v>
      </c>
      <c r="M13" s="154"/>
      <c r="N13" s="154">
        <f>$C$13+D13+E13+$H$13+I13+$J$13+$K$13+L13</f>
        <v>38690.200000000004</v>
      </c>
      <c r="O13" s="154">
        <f>ROUND((N13)*$Z$4,2)</f>
        <v>11560.63</v>
      </c>
      <c r="P13" s="154">
        <f>ROUND(N13*8.5%,0)</f>
        <v>3289</v>
      </c>
      <c r="Q13" s="154">
        <f>N13+O13+P13</f>
        <v>53539.83</v>
      </c>
      <c r="R13" s="158">
        <f>O13+P13</f>
        <v>14849.63</v>
      </c>
      <c r="S13" s="326" t="s">
        <v>163</v>
      </c>
      <c r="T13" s="84" t="s">
        <v>176</v>
      </c>
      <c r="U13" s="6">
        <f>Q13-'da genn a aprile 2024'!L13</f>
        <v>382.77999999999884</v>
      </c>
    </row>
    <row r="14" spans="1:27" x14ac:dyDescent="0.2">
      <c r="A14" s="311"/>
      <c r="B14" s="92" t="s">
        <v>177</v>
      </c>
      <c r="C14" s="318"/>
      <c r="D14" s="159">
        <v>6259.59</v>
      </c>
      <c r="E14" s="159">
        <f>'IVC Nuova'!N12*12</f>
        <v>255</v>
      </c>
      <c r="F14" s="160">
        <f t="shared" ref="F14:F20" si="8">6545.24</f>
        <v>6545.24</v>
      </c>
      <c r="G14" s="160">
        <f t="shared" ref="G14:G20" si="9">$C$13+D14+E14-F14</f>
        <v>25475.14</v>
      </c>
      <c r="H14" s="303"/>
      <c r="I14" s="161"/>
      <c r="J14" s="162"/>
      <c r="K14" s="303"/>
      <c r="L14" s="163">
        <f t="shared" si="3"/>
        <v>542.88</v>
      </c>
      <c r="M14" s="160"/>
      <c r="N14" s="160">
        <f t="shared" ref="N14:N20" si="10">$C$13+D14+E14+$H$13+I14+$J$13+$K$13+L14</f>
        <v>37715.200000000004</v>
      </c>
      <c r="O14" s="160">
        <f t="shared" ref="O14:O32" si="11">ROUND((N14)*$Z$4,2)</f>
        <v>11269.3</v>
      </c>
      <c r="P14" s="160">
        <f>ROUND(N14*8.5%,0)</f>
        <v>3206</v>
      </c>
      <c r="Q14" s="160">
        <f>N14+O14+P14</f>
        <v>52190.5</v>
      </c>
      <c r="R14" s="164">
        <f>O14+P14</f>
        <v>14475.3</v>
      </c>
      <c r="S14" s="327"/>
      <c r="T14" s="84" t="s">
        <v>177</v>
      </c>
      <c r="U14" s="6">
        <f>Q14-'da genn a aprile 2024'!L14</f>
        <v>382.77999999999884</v>
      </c>
    </row>
    <row r="15" spans="1:27" x14ac:dyDescent="0.2">
      <c r="A15" s="311"/>
      <c r="B15" s="4" t="s">
        <v>178</v>
      </c>
      <c r="C15" s="318"/>
      <c r="D15" s="159">
        <v>5203.2099999999991</v>
      </c>
      <c r="E15" s="159">
        <f>'IVC Nuova'!N13*12</f>
        <v>255</v>
      </c>
      <c r="F15" s="160">
        <f t="shared" si="8"/>
        <v>6545.24</v>
      </c>
      <c r="G15" s="160">
        <f t="shared" si="9"/>
        <v>24418.760000000002</v>
      </c>
      <c r="H15" s="303"/>
      <c r="I15" s="161"/>
      <c r="J15" s="162"/>
      <c r="K15" s="303"/>
      <c r="L15" s="163">
        <f t="shared" si="3"/>
        <v>454.85</v>
      </c>
      <c r="M15" s="160"/>
      <c r="N15" s="160">
        <f t="shared" si="10"/>
        <v>36570.79</v>
      </c>
      <c r="O15" s="160">
        <f t="shared" si="11"/>
        <v>10927.35</v>
      </c>
      <c r="P15" s="160">
        <f>ROUND(N15*8.5%,0)</f>
        <v>3109</v>
      </c>
      <c r="Q15" s="160">
        <f>N15+O15+P15</f>
        <v>50607.14</v>
      </c>
      <c r="R15" s="164">
        <f>O15+P15</f>
        <v>14036.35</v>
      </c>
      <c r="S15" s="327"/>
      <c r="T15" s="6" t="s">
        <v>178</v>
      </c>
      <c r="U15" s="6">
        <f>Q15-'da genn a aprile 2024'!L15</f>
        <v>382.79000000000087</v>
      </c>
    </row>
    <row r="16" spans="1:27" x14ac:dyDescent="0.2">
      <c r="A16" s="311"/>
      <c r="B16" s="4" t="s">
        <v>179</v>
      </c>
      <c r="C16" s="318"/>
      <c r="D16" s="159">
        <v>4189.2299999999996</v>
      </c>
      <c r="E16" s="159">
        <f>'IVC Nuova'!N14*12</f>
        <v>255</v>
      </c>
      <c r="F16" s="160">
        <f t="shared" si="8"/>
        <v>6545.24</v>
      </c>
      <c r="G16" s="160">
        <f t="shared" si="9"/>
        <v>23404.78</v>
      </c>
      <c r="H16" s="303"/>
      <c r="I16" s="161"/>
      <c r="J16" s="162"/>
      <c r="K16" s="303"/>
      <c r="L16" s="163">
        <f t="shared" si="3"/>
        <v>370.35</v>
      </c>
      <c r="M16" s="160"/>
      <c r="N16" s="160">
        <f t="shared" si="10"/>
        <v>35472.310000000005</v>
      </c>
      <c r="O16" s="160">
        <f t="shared" si="11"/>
        <v>10599.13</v>
      </c>
      <c r="P16" s="160">
        <f t="shared" ref="P16:P32" si="12">ROUND(N16*8.5%,0)</f>
        <v>3015</v>
      </c>
      <c r="Q16" s="160">
        <f t="shared" ref="Q16:Q32" si="13">N16+O16+P16</f>
        <v>49086.44</v>
      </c>
      <c r="R16" s="164">
        <f t="shared" si="7"/>
        <v>13614.13</v>
      </c>
      <c r="S16" s="327"/>
      <c r="T16" s="6" t="s">
        <v>179</v>
      </c>
      <c r="U16" s="6">
        <f>Q16-'da genn a aprile 2024'!L16</f>
        <v>381.77999999999884</v>
      </c>
    </row>
    <row r="17" spans="1:21" x14ac:dyDescent="0.2">
      <c r="A17" s="311"/>
      <c r="B17" s="4" t="s">
        <v>180</v>
      </c>
      <c r="C17" s="318"/>
      <c r="D17" s="159">
        <v>3221.0099999999984</v>
      </c>
      <c r="E17" s="159">
        <f>'IVC Nuova'!N15*12</f>
        <v>255</v>
      </c>
      <c r="F17" s="160">
        <f t="shared" si="8"/>
        <v>6545.24</v>
      </c>
      <c r="G17" s="160">
        <f t="shared" si="9"/>
        <v>22436.559999999998</v>
      </c>
      <c r="H17" s="303"/>
      <c r="I17" s="161"/>
      <c r="J17" s="162"/>
      <c r="K17" s="303"/>
      <c r="L17" s="163">
        <f t="shared" si="3"/>
        <v>289.67</v>
      </c>
      <c r="M17" s="160"/>
      <c r="N17" s="160">
        <f t="shared" si="10"/>
        <v>34423.409999999996</v>
      </c>
      <c r="O17" s="160">
        <f t="shared" si="11"/>
        <v>10285.709999999999</v>
      </c>
      <c r="P17" s="160">
        <f t="shared" si="12"/>
        <v>2926</v>
      </c>
      <c r="Q17" s="160">
        <f t="shared" si="13"/>
        <v>47635.119999999995</v>
      </c>
      <c r="R17" s="164">
        <f t="shared" si="7"/>
        <v>13211.71</v>
      </c>
      <c r="S17" s="327"/>
      <c r="T17" s="6" t="s">
        <v>180</v>
      </c>
      <c r="U17" s="6">
        <f>Q17-'da genn a aprile 2024'!L17</f>
        <v>381.7899999999936</v>
      </c>
    </row>
    <row r="18" spans="1:21" s="6" customFormat="1" x14ac:dyDescent="0.2">
      <c r="A18" s="311"/>
      <c r="B18" s="4" t="s">
        <v>181</v>
      </c>
      <c r="C18" s="318"/>
      <c r="D18" s="159">
        <v>1909.4599999999991</v>
      </c>
      <c r="E18" s="159">
        <f>'IVC Nuova'!N16*12</f>
        <v>255</v>
      </c>
      <c r="F18" s="160">
        <f t="shared" si="8"/>
        <v>6545.24</v>
      </c>
      <c r="G18" s="160">
        <f t="shared" si="9"/>
        <v>21125.010000000002</v>
      </c>
      <c r="H18" s="303"/>
      <c r="I18" s="161"/>
      <c r="J18" s="162"/>
      <c r="K18" s="303"/>
      <c r="L18" s="163">
        <f t="shared" si="3"/>
        <v>180.37</v>
      </c>
      <c r="M18" s="160"/>
      <c r="N18" s="160">
        <f t="shared" si="10"/>
        <v>33002.560000000005</v>
      </c>
      <c r="O18" s="160">
        <f t="shared" si="11"/>
        <v>9861.16</v>
      </c>
      <c r="P18" s="160">
        <f t="shared" si="12"/>
        <v>2805</v>
      </c>
      <c r="Q18" s="160">
        <f t="shared" si="13"/>
        <v>45668.72</v>
      </c>
      <c r="R18" s="164">
        <f t="shared" si="7"/>
        <v>12666.16</v>
      </c>
      <c r="S18" s="327"/>
      <c r="T18" s="6" t="s">
        <v>181</v>
      </c>
      <c r="U18" s="6">
        <f>Q18-'da genn a aprile 2024'!L18</f>
        <v>381.79000000000087</v>
      </c>
    </row>
    <row r="19" spans="1:21" s="6" customFormat="1" x14ac:dyDescent="0.2">
      <c r="A19" s="311"/>
      <c r="B19" s="4" t="s">
        <v>182</v>
      </c>
      <c r="C19" s="318"/>
      <c r="D19" s="159">
        <v>908.88999999999942</v>
      </c>
      <c r="E19" s="159">
        <f>'IVC Nuova'!N17*12</f>
        <v>255</v>
      </c>
      <c r="F19" s="160">
        <f t="shared" si="8"/>
        <v>6545.24</v>
      </c>
      <c r="G19" s="160">
        <f t="shared" si="9"/>
        <v>20124.440000000002</v>
      </c>
      <c r="H19" s="303"/>
      <c r="I19" s="161"/>
      <c r="J19" s="162"/>
      <c r="K19" s="303"/>
      <c r="L19" s="163">
        <f t="shared" si="3"/>
        <v>96.99</v>
      </c>
      <c r="M19" s="160"/>
      <c r="N19" s="160">
        <f t="shared" si="10"/>
        <v>31918.61</v>
      </c>
      <c r="O19" s="160">
        <f t="shared" si="11"/>
        <v>9537.2800000000007</v>
      </c>
      <c r="P19" s="160">
        <f t="shared" si="12"/>
        <v>2713</v>
      </c>
      <c r="Q19" s="160">
        <f t="shared" si="13"/>
        <v>44168.89</v>
      </c>
      <c r="R19" s="164">
        <f t="shared" si="7"/>
        <v>12250.28</v>
      </c>
      <c r="S19" s="327"/>
      <c r="T19" s="6" t="s">
        <v>182</v>
      </c>
      <c r="U19" s="6">
        <f>Q19-'da genn a aprile 2024'!L19</f>
        <v>381.79000000000087</v>
      </c>
    </row>
    <row r="20" spans="1:21" s="6" customFormat="1" ht="13.5" thickBot="1" x14ac:dyDescent="0.25">
      <c r="A20" s="312"/>
      <c r="B20" s="100" t="s">
        <v>183</v>
      </c>
      <c r="C20" s="319"/>
      <c r="D20" s="165">
        <v>0</v>
      </c>
      <c r="E20" s="165">
        <f>'IVC Nuova'!N18*12</f>
        <v>255</v>
      </c>
      <c r="F20" s="166">
        <f t="shared" si="8"/>
        <v>6545.24</v>
      </c>
      <c r="G20" s="166">
        <f t="shared" si="9"/>
        <v>19215.550000000003</v>
      </c>
      <c r="H20" s="304"/>
      <c r="I20" s="167"/>
      <c r="J20" s="168"/>
      <c r="K20" s="304"/>
      <c r="L20" s="169">
        <f t="shared" si="3"/>
        <v>21.25</v>
      </c>
      <c r="M20" s="166"/>
      <c r="N20" s="166">
        <f t="shared" si="10"/>
        <v>30933.98</v>
      </c>
      <c r="O20" s="166">
        <f t="shared" si="11"/>
        <v>9243.07</v>
      </c>
      <c r="P20" s="166">
        <f t="shared" si="12"/>
        <v>2629</v>
      </c>
      <c r="Q20" s="166">
        <f t="shared" si="13"/>
        <v>42806.05</v>
      </c>
      <c r="R20" s="170">
        <f t="shared" si="7"/>
        <v>11872.07</v>
      </c>
      <c r="S20" s="328"/>
      <c r="T20" s="11" t="s">
        <v>183</v>
      </c>
      <c r="U20" s="6">
        <f>Q20-'da genn a aprile 2024'!L20</f>
        <v>381.79000000000087</v>
      </c>
    </row>
    <row r="21" spans="1:21" s="6" customFormat="1" x14ac:dyDescent="0.2">
      <c r="A21" s="310" t="s">
        <v>162</v>
      </c>
      <c r="B21" s="99" t="s">
        <v>184</v>
      </c>
      <c r="C21" s="320">
        <v>22358.04</v>
      </c>
      <c r="D21" s="171">
        <v>4821.8600000000006</v>
      </c>
      <c r="E21" s="171">
        <f>'IVC Nuova'!N19*12</f>
        <v>223.56</v>
      </c>
      <c r="F21" s="172">
        <f>6450.08</f>
        <v>6450.08</v>
      </c>
      <c r="G21" s="172">
        <f>$C$21+D21+E21-F21</f>
        <v>20953.380000000005</v>
      </c>
      <c r="H21" s="305">
        <v>2187.17</v>
      </c>
      <c r="I21" s="173"/>
      <c r="J21" s="174"/>
      <c r="K21" s="305">
        <f>ROUND((C21)/12,2)</f>
        <v>1863.17</v>
      </c>
      <c r="L21" s="175">
        <f t="shared" si="3"/>
        <v>420.45</v>
      </c>
      <c r="M21" s="172"/>
      <c r="N21" s="172">
        <f>$C$21+D21+E21+$H$21+I21+$J$21+$K$21+L21</f>
        <v>31874.250000000004</v>
      </c>
      <c r="O21" s="172">
        <f t="shared" si="11"/>
        <v>9524.0300000000007</v>
      </c>
      <c r="P21" s="172">
        <f>ROUND(N21*8.5%,0)</f>
        <v>2709</v>
      </c>
      <c r="Q21" s="172">
        <f>N21+O21+P21</f>
        <v>44107.280000000006</v>
      </c>
      <c r="R21" s="176">
        <f>O21+P21</f>
        <v>12233.03</v>
      </c>
      <c r="S21" s="335" t="s">
        <v>162</v>
      </c>
      <c r="T21" s="84" t="s">
        <v>184</v>
      </c>
      <c r="U21" s="6">
        <f>Q21-'da genn a aprile 2024'!L21</f>
        <v>334.56000000000495</v>
      </c>
    </row>
    <row r="22" spans="1:21" s="6" customFormat="1" x14ac:dyDescent="0.2">
      <c r="A22" s="311"/>
      <c r="B22" s="92" t="s">
        <v>185</v>
      </c>
      <c r="C22" s="321"/>
      <c r="D22" s="177">
        <v>4075.0200000000004</v>
      </c>
      <c r="E22" s="177">
        <f>'IVC Nuova'!N20*12</f>
        <v>223.56</v>
      </c>
      <c r="F22" s="178">
        <f>6450.08</f>
        <v>6450.08</v>
      </c>
      <c r="G22" s="178">
        <f t="shared" ref="G22:G27" si="14">$C$21+D22+E22-F22</f>
        <v>20206.54</v>
      </c>
      <c r="H22" s="306"/>
      <c r="I22" s="179"/>
      <c r="J22" s="180"/>
      <c r="K22" s="306"/>
      <c r="L22" s="181">
        <f t="shared" si="3"/>
        <v>358.22</v>
      </c>
      <c r="M22" s="178"/>
      <c r="N22" s="178">
        <f t="shared" ref="N22:N27" si="15">$C$21+D22+E22+$H$21+I22+$J$21+$K$21+L22</f>
        <v>31065.18</v>
      </c>
      <c r="O22" s="178">
        <f t="shared" si="11"/>
        <v>9282.2800000000007</v>
      </c>
      <c r="P22" s="178">
        <f>ROUND(N22*8.5%,0)</f>
        <v>2641</v>
      </c>
      <c r="Q22" s="178">
        <f>N22+O22+P22</f>
        <v>42988.46</v>
      </c>
      <c r="R22" s="182">
        <f>O22+P22</f>
        <v>11923.28</v>
      </c>
      <c r="S22" s="336"/>
      <c r="T22" s="84" t="s">
        <v>185</v>
      </c>
      <c r="U22" s="6">
        <f>Q22-'da genn a aprile 2024'!L22</f>
        <v>335.56000000000495</v>
      </c>
    </row>
    <row r="23" spans="1:21" s="6" customFormat="1" x14ac:dyDescent="0.2">
      <c r="A23" s="311"/>
      <c r="B23" s="4" t="s">
        <v>186</v>
      </c>
      <c r="C23" s="321"/>
      <c r="D23" s="177">
        <v>3317.5200000000004</v>
      </c>
      <c r="E23" s="177">
        <f>'IVC Nuova'!N21*12</f>
        <v>223.56</v>
      </c>
      <c r="F23" s="178">
        <f>6450.08</f>
        <v>6450.08</v>
      </c>
      <c r="G23" s="178">
        <f t="shared" si="14"/>
        <v>19449.04</v>
      </c>
      <c r="H23" s="306"/>
      <c r="I23" s="179"/>
      <c r="J23" s="180"/>
      <c r="K23" s="306"/>
      <c r="L23" s="181">
        <f t="shared" si="3"/>
        <v>295.08999999999997</v>
      </c>
      <c r="M23" s="178"/>
      <c r="N23" s="178">
        <f t="shared" si="15"/>
        <v>30244.55</v>
      </c>
      <c r="O23" s="178">
        <f t="shared" si="11"/>
        <v>9037.07</v>
      </c>
      <c r="P23" s="178">
        <f>ROUND(N23*8.5%,0)</f>
        <v>2571</v>
      </c>
      <c r="Q23" s="178">
        <f>N23+O23+P23</f>
        <v>41852.619999999995</v>
      </c>
      <c r="R23" s="182">
        <f>O23+P23</f>
        <v>11608.07</v>
      </c>
      <c r="S23" s="336"/>
      <c r="T23" s="6" t="s">
        <v>186</v>
      </c>
      <c r="U23" s="6">
        <f>Q23-'da genn a aprile 2024'!L23</f>
        <v>335.54999999999563</v>
      </c>
    </row>
    <row r="24" spans="1:21" s="6" customFormat="1" x14ac:dyDescent="0.2">
      <c r="A24" s="311"/>
      <c r="B24" s="4" t="s">
        <v>187</v>
      </c>
      <c r="C24" s="321"/>
      <c r="D24" s="177">
        <v>2577.7200000000012</v>
      </c>
      <c r="E24" s="177">
        <f>'IVC Nuova'!N22*12</f>
        <v>223.56</v>
      </c>
      <c r="F24" s="178">
        <f>6450.08</f>
        <v>6450.08</v>
      </c>
      <c r="G24" s="178">
        <f t="shared" si="14"/>
        <v>18709.240000000005</v>
      </c>
      <c r="H24" s="306"/>
      <c r="I24" s="179"/>
      <c r="J24" s="180"/>
      <c r="K24" s="306"/>
      <c r="L24" s="181">
        <f t="shared" si="3"/>
        <v>233.44</v>
      </c>
      <c r="M24" s="178"/>
      <c r="N24" s="178">
        <f t="shared" si="15"/>
        <v>29443.100000000002</v>
      </c>
      <c r="O24" s="178">
        <f t="shared" si="11"/>
        <v>8797.6</v>
      </c>
      <c r="P24" s="178">
        <f t="shared" si="12"/>
        <v>2503</v>
      </c>
      <c r="Q24" s="178">
        <f>N24+O24+P24</f>
        <v>40743.700000000004</v>
      </c>
      <c r="R24" s="182">
        <f t="shared" si="7"/>
        <v>11300.6</v>
      </c>
      <c r="S24" s="336"/>
      <c r="T24" s="6" t="s">
        <v>187</v>
      </c>
      <c r="U24" s="6">
        <f>Q24-'da genn a aprile 2024'!L24</f>
        <v>335.56000000000495</v>
      </c>
    </row>
    <row r="25" spans="1:21" s="6" customFormat="1" x14ac:dyDescent="0.2">
      <c r="A25" s="311"/>
      <c r="B25" s="92" t="s">
        <v>188</v>
      </c>
      <c r="C25" s="321"/>
      <c r="D25" s="177">
        <v>1878.4799999999996</v>
      </c>
      <c r="E25" s="177">
        <f>'IVC Nuova'!N23*12</f>
        <v>223.56</v>
      </c>
      <c r="F25" s="178">
        <f>6450.08</f>
        <v>6450.08</v>
      </c>
      <c r="G25" s="178">
        <f t="shared" si="14"/>
        <v>18010</v>
      </c>
      <c r="H25" s="306"/>
      <c r="I25" s="179"/>
      <c r="J25" s="180"/>
      <c r="K25" s="306"/>
      <c r="L25" s="181">
        <f t="shared" si="3"/>
        <v>175.17</v>
      </c>
      <c r="M25" s="178"/>
      <c r="N25" s="178">
        <f t="shared" si="15"/>
        <v>28685.589999999997</v>
      </c>
      <c r="O25" s="178">
        <f t="shared" si="11"/>
        <v>8571.25</v>
      </c>
      <c r="P25" s="178">
        <f t="shared" si="12"/>
        <v>2438</v>
      </c>
      <c r="Q25" s="178">
        <f t="shared" si="13"/>
        <v>39694.839999999997</v>
      </c>
      <c r="R25" s="182">
        <f t="shared" si="7"/>
        <v>11009.25</v>
      </c>
      <c r="S25" s="336"/>
      <c r="T25" s="84" t="s">
        <v>188</v>
      </c>
      <c r="U25" s="6">
        <f>Q25-'da genn a aprile 2024'!L25</f>
        <v>334.55000000000291</v>
      </c>
    </row>
    <row r="26" spans="1:21" s="6" customFormat="1" x14ac:dyDescent="0.2">
      <c r="A26" s="311"/>
      <c r="B26" s="4" t="s">
        <v>189</v>
      </c>
      <c r="C26" s="321"/>
      <c r="D26" s="177">
        <v>800.40000000000146</v>
      </c>
      <c r="E26" s="177">
        <f>'IVC Nuova'!N24*12</f>
        <v>223.56</v>
      </c>
      <c r="F26" s="178">
        <f>6372.64</f>
        <v>6372.64</v>
      </c>
      <c r="G26" s="178">
        <f t="shared" si="14"/>
        <v>17009.360000000004</v>
      </c>
      <c r="H26" s="306"/>
      <c r="I26" s="179"/>
      <c r="J26" s="180"/>
      <c r="K26" s="306"/>
      <c r="L26" s="181">
        <f t="shared" si="3"/>
        <v>85.33</v>
      </c>
      <c r="M26" s="178"/>
      <c r="N26" s="178">
        <f t="shared" si="15"/>
        <v>27517.670000000006</v>
      </c>
      <c r="O26" s="178">
        <f t="shared" si="11"/>
        <v>8222.2800000000007</v>
      </c>
      <c r="P26" s="178">
        <f t="shared" si="12"/>
        <v>2339</v>
      </c>
      <c r="Q26" s="178">
        <f t="shared" si="13"/>
        <v>38078.950000000004</v>
      </c>
      <c r="R26" s="182">
        <f t="shared" si="7"/>
        <v>10561.28</v>
      </c>
      <c r="S26" s="336"/>
      <c r="T26" s="6" t="s">
        <v>189</v>
      </c>
      <c r="U26" s="6">
        <f>Q26-'da genn a aprile 2024'!L26</f>
        <v>335.56000000000495</v>
      </c>
    </row>
    <row r="27" spans="1:21" s="6" customFormat="1" ht="13.5" thickBot="1" x14ac:dyDescent="0.25">
      <c r="A27" s="312"/>
      <c r="B27" s="5" t="s">
        <v>194</v>
      </c>
      <c r="C27" s="322"/>
      <c r="D27" s="183">
        <v>0</v>
      </c>
      <c r="E27" s="183">
        <f>'IVC Nuova'!N25*12</f>
        <v>223.56</v>
      </c>
      <c r="F27" s="184">
        <f>6372.64</f>
        <v>6372.64</v>
      </c>
      <c r="G27" s="184">
        <f t="shared" si="14"/>
        <v>16208.960000000003</v>
      </c>
      <c r="H27" s="307"/>
      <c r="I27" s="185"/>
      <c r="J27" s="186"/>
      <c r="K27" s="307"/>
      <c r="L27" s="187">
        <f t="shared" si="3"/>
        <v>18.63</v>
      </c>
      <c r="M27" s="184"/>
      <c r="N27" s="184">
        <f t="shared" si="15"/>
        <v>26650.570000000003</v>
      </c>
      <c r="O27" s="184">
        <f t="shared" si="11"/>
        <v>7963.19</v>
      </c>
      <c r="P27" s="184">
        <f t="shared" si="12"/>
        <v>2265</v>
      </c>
      <c r="Q27" s="184">
        <f t="shared" si="13"/>
        <v>36878.76</v>
      </c>
      <c r="R27" s="188">
        <f t="shared" si="7"/>
        <v>10228.189999999999</v>
      </c>
      <c r="S27" s="337"/>
      <c r="T27" s="6" t="s">
        <v>194</v>
      </c>
      <c r="U27" s="6">
        <f>Q27-'da genn a aprile 2024'!L27</f>
        <v>334.56000000000495</v>
      </c>
    </row>
    <row r="28" spans="1:21" s="6" customFormat="1" x14ac:dyDescent="0.2">
      <c r="A28" s="313" t="s">
        <v>161</v>
      </c>
      <c r="B28" s="99" t="s">
        <v>190</v>
      </c>
      <c r="C28" s="323">
        <v>21306.79</v>
      </c>
      <c r="D28" s="189">
        <v>2963.25</v>
      </c>
      <c r="E28" s="189">
        <f>'IVC Nuova'!N27*12</f>
        <v>213.12</v>
      </c>
      <c r="F28" s="190">
        <f>6332.96</f>
        <v>6332.96</v>
      </c>
      <c r="G28" s="190">
        <f>$C$28+D28+E28-F28</f>
        <v>18150.2</v>
      </c>
      <c r="H28" s="284">
        <v>1646.36</v>
      </c>
      <c r="I28" s="191"/>
      <c r="J28" s="192"/>
      <c r="K28" s="284">
        <f>ROUND((C28)/12,2)</f>
        <v>1775.57</v>
      </c>
      <c r="L28" s="193">
        <f t="shared" si="3"/>
        <v>264.7</v>
      </c>
      <c r="M28" s="190"/>
      <c r="N28" s="190">
        <f>$C$28+D28+E28+$H$28+I28+$J$28+$K$28+L28</f>
        <v>28169.79</v>
      </c>
      <c r="O28" s="190">
        <f t="shared" si="11"/>
        <v>8417.1299999999992</v>
      </c>
      <c r="P28" s="190">
        <f>ROUND(N28*8.5%,0)</f>
        <v>2394</v>
      </c>
      <c r="Q28" s="190">
        <f>N28+O28+P28</f>
        <v>38980.92</v>
      </c>
      <c r="R28" s="194">
        <f>O28+P28</f>
        <v>10811.13</v>
      </c>
      <c r="S28" s="329" t="s">
        <v>161</v>
      </c>
      <c r="T28" s="84" t="s">
        <v>190</v>
      </c>
      <c r="U28" s="6">
        <f>Q28-'da genn a aprile 2024'!L29</f>
        <v>318.87999999999738</v>
      </c>
    </row>
    <row r="29" spans="1:21" s="6" customFormat="1" ht="12" customHeight="1" x14ac:dyDescent="0.2">
      <c r="A29" s="314"/>
      <c r="B29" s="92" t="s">
        <v>191</v>
      </c>
      <c r="C29" s="324"/>
      <c r="D29" s="195">
        <v>2411.9300000000003</v>
      </c>
      <c r="E29" s="195">
        <f>'IVC Nuova'!N28*12</f>
        <v>213.12</v>
      </c>
      <c r="F29" s="196">
        <f>6332.96</f>
        <v>6332.96</v>
      </c>
      <c r="G29" s="196">
        <f t="shared" ref="G29:G32" si="16">$C$28+D29+E29-F29</f>
        <v>17598.88</v>
      </c>
      <c r="H29" s="285"/>
      <c r="I29" s="197"/>
      <c r="J29" s="198"/>
      <c r="K29" s="285"/>
      <c r="L29" s="199">
        <f t="shared" si="3"/>
        <v>218.75</v>
      </c>
      <c r="M29" s="196"/>
      <c r="N29" s="196">
        <f t="shared" ref="N29:N32" si="17">$C$28+D29+E29+$H$28+I29+$J$28+$K$28+L29</f>
        <v>27572.52</v>
      </c>
      <c r="O29" s="196">
        <f t="shared" si="11"/>
        <v>8238.67</v>
      </c>
      <c r="P29" s="196">
        <f>ROUND(N29*8.5%,0)</f>
        <v>2344</v>
      </c>
      <c r="Q29" s="196">
        <f>N29+O29+P29</f>
        <v>38155.19</v>
      </c>
      <c r="R29" s="200">
        <f>O29+P29</f>
        <v>10582.67</v>
      </c>
      <c r="S29" s="330"/>
      <c r="T29" s="84" t="s">
        <v>191</v>
      </c>
      <c r="U29" s="6">
        <f>Q29-'da genn a aprile 2024'!L30</f>
        <v>319.86999999999534</v>
      </c>
    </row>
    <row r="30" spans="1:21" s="6" customFormat="1" ht="12" customHeight="1" x14ac:dyDescent="0.2">
      <c r="A30" s="314"/>
      <c r="B30" s="92" t="s">
        <v>192</v>
      </c>
      <c r="C30" s="324"/>
      <c r="D30" s="195">
        <v>1616.7499999999964</v>
      </c>
      <c r="E30" s="195">
        <f>'IVC Nuova'!N29*12</f>
        <v>213.12</v>
      </c>
      <c r="F30" s="196">
        <f>6332.96</f>
        <v>6332.96</v>
      </c>
      <c r="G30" s="196">
        <f t="shared" si="16"/>
        <v>16803.699999999997</v>
      </c>
      <c r="H30" s="285"/>
      <c r="I30" s="197"/>
      <c r="J30" s="198"/>
      <c r="K30" s="285"/>
      <c r="L30" s="199">
        <f t="shared" si="3"/>
        <v>152.49</v>
      </c>
      <c r="M30" s="196"/>
      <c r="N30" s="196">
        <f t="shared" si="17"/>
        <v>26711.079999999998</v>
      </c>
      <c r="O30" s="196">
        <f t="shared" si="11"/>
        <v>7981.27</v>
      </c>
      <c r="P30" s="196">
        <f>ROUND(N30*8.5%,0)</f>
        <v>2270</v>
      </c>
      <c r="Q30" s="196">
        <f>N30+O30+P30</f>
        <v>36962.35</v>
      </c>
      <c r="R30" s="200">
        <f>O30+P30</f>
        <v>10251.27</v>
      </c>
      <c r="S30" s="330"/>
      <c r="T30" s="84" t="s">
        <v>192</v>
      </c>
      <c r="U30" s="6">
        <f>Q30-'da genn a aprile 2024'!L31</f>
        <v>318.87000000000262</v>
      </c>
    </row>
    <row r="31" spans="1:21" s="6" customFormat="1" x14ac:dyDescent="0.2">
      <c r="A31" s="314"/>
      <c r="B31" s="92" t="s">
        <v>193</v>
      </c>
      <c r="C31" s="324"/>
      <c r="D31" s="195">
        <v>845.61000000000058</v>
      </c>
      <c r="E31" s="195">
        <f>'IVC Nuova'!N30*12</f>
        <v>213.12</v>
      </c>
      <c r="F31" s="196">
        <f>6332.96</f>
        <v>6332.96</v>
      </c>
      <c r="G31" s="196">
        <f t="shared" si="16"/>
        <v>16032.560000000001</v>
      </c>
      <c r="H31" s="285"/>
      <c r="I31" s="197"/>
      <c r="J31" s="198"/>
      <c r="K31" s="285"/>
      <c r="L31" s="199">
        <f t="shared" si="3"/>
        <v>88.23</v>
      </c>
      <c r="M31" s="196"/>
      <c r="N31" s="196">
        <f t="shared" si="17"/>
        <v>25875.68</v>
      </c>
      <c r="O31" s="196">
        <f t="shared" si="11"/>
        <v>7731.65</v>
      </c>
      <c r="P31" s="196">
        <f t="shared" si="12"/>
        <v>2199</v>
      </c>
      <c r="Q31" s="196">
        <f t="shared" si="13"/>
        <v>35806.33</v>
      </c>
      <c r="R31" s="200">
        <f t="shared" si="7"/>
        <v>9930.65</v>
      </c>
      <c r="S31" s="330"/>
      <c r="T31" s="84" t="s">
        <v>193</v>
      </c>
      <c r="U31" s="6">
        <f>Q31-'da genn a aprile 2024'!L32</f>
        <v>318.88000000000466</v>
      </c>
    </row>
    <row r="32" spans="1:21" s="6" customFormat="1" ht="26.25" thickBot="1" x14ac:dyDescent="0.25">
      <c r="A32" s="315"/>
      <c r="B32" s="101" t="s">
        <v>195</v>
      </c>
      <c r="C32" s="325"/>
      <c r="D32" s="201">
        <v>0</v>
      </c>
      <c r="E32" s="201">
        <f>'IVC Nuova'!N31*12</f>
        <v>213.12</v>
      </c>
      <c r="F32" s="202">
        <f>6332.96</f>
        <v>6332.96</v>
      </c>
      <c r="G32" s="202">
        <f t="shared" si="16"/>
        <v>15186.95</v>
      </c>
      <c r="H32" s="286"/>
      <c r="I32" s="203"/>
      <c r="J32" s="204"/>
      <c r="K32" s="286"/>
      <c r="L32" s="205">
        <f t="shared" si="3"/>
        <v>17.760000000000002</v>
      </c>
      <c r="M32" s="202"/>
      <c r="N32" s="202">
        <f t="shared" si="17"/>
        <v>24959.599999999999</v>
      </c>
      <c r="O32" s="202">
        <f t="shared" si="11"/>
        <v>7457.93</v>
      </c>
      <c r="P32" s="202">
        <f t="shared" si="12"/>
        <v>2122</v>
      </c>
      <c r="Q32" s="202">
        <f t="shared" si="13"/>
        <v>34539.53</v>
      </c>
      <c r="R32" s="206">
        <f t="shared" si="7"/>
        <v>9579.93</v>
      </c>
      <c r="S32" s="331"/>
      <c r="T32" s="94" t="s">
        <v>195</v>
      </c>
      <c r="U32" s="6">
        <f>Q32-'da genn a aprile 2024'!L33</f>
        <v>319.86999999999534</v>
      </c>
    </row>
    <row r="36" spans="1:22" ht="18.75" x14ac:dyDescent="0.2">
      <c r="A36" s="2" t="s">
        <v>217</v>
      </c>
      <c r="P36" s="9"/>
      <c r="Q36" s="9"/>
      <c r="R36" s="9"/>
      <c r="S36" s="9"/>
      <c r="T36" s="9"/>
    </row>
    <row r="37" spans="1:22" x14ac:dyDescent="0.2">
      <c r="A37" s="10" t="s">
        <v>220</v>
      </c>
      <c r="B37" s="10"/>
      <c r="C37" s="10"/>
      <c r="E37" s="10"/>
      <c r="G37" s="10"/>
      <c r="H37" s="10"/>
      <c r="P37" s="9"/>
      <c r="Q37" s="9"/>
      <c r="R37" s="9"/>
      <c r="S37" s="9"/>
      <c r="T37" s="9"/>
    </row>
    <row r="38" spans="1:22" ht="13.5" thickBot="1" x14ac:dyDescent="0.25">
      <c r="P38" s="9"/>
      <c r="Q38" s="9"/>
      <c r="R38" s="14" t="s">
        <v>200</v>
      </c>
      <c r="S38" s="98" t="s">
        <v>79</v>
      </c>
      <c r="T38" s="88" t="s">
        <v>206</v>
      </c>
    </row>
    <row r="39" spans="1:22" ht="64.5" thickBot="1" x14ac:dyDescent="0.25">
      <c r="A39" s="130" t="s">
        <v>165</v>
      </c>
      <c r="B39" s="277" t="s">
        <v>166</v>
      </c>
      <c r="C39" s="277" t="s">
        <v>216</v>
      </c>
      <c r="D39" s="131" t="s">
        <v>35</v>
      </c>
      <c r="E39" s="131" t="s">
        <v>33</v>
      </c>
      <c r="F39" s="277" t="s">
        <v>42</v>
      </c>
      <c r="G39" s="131" t="s">
        <v>36</v>
      </c>
      <c r="H39" s="131" t="s">
        <v>208</v>
      </c>
      <c r="I39" s="131" t="s">
        <v>32</v>
      </c>
      <c r="J39" s="131" t="s">
        <v>37</v>
      </c>
      <c r="K39" s="131" t="s">
        <v>38</v>
      </c>
      <c r="L39" s="131" t="s">
        <v>39</v>
      </c>
      <c r="M39" s="131" t="s">
        <v>40</v>
      </c>
      <c r="N39" s="132" t="s">
        <v>165</v>
      </c>
      <c r="O39" s="127"/>
      <c r="P39" s="127"/>
      <c r="Q39" s="127"/>
      <c r="R39" s="128" t="s">
        <v>33</v>
      </c>
      <c r="S39" s="129">
        <v>0.34239999999999998</v>
      </c>
      <c r="T39" s="283">
        <v>0.29880000000000001</v>
      </c>
      <c r="U39" s="127"/>
      <c r="V39" s="127"/>
    </row>
    <row r="40" spans="1:22" ht="26.25" thickBot="1" x14ac:dyDescent="0.25">
      <c r="A40" s="102" t="s">
        <v>164</v>
      </c>
      <c r="B40" s="103">
        <v>28693.65</v>
      </c>
      <c r="C40" s="104">
        <f>E12</f>
        <v>286.92</v>
      </c>
      <c r="D40" s="105">
        <v>6682.26</v>
      </c>
      <c r="E40" s="105">
        <f>B40+C40-D40</f>
        <v>22298.309999999998</v>
      </c>
      <c r="F40" s="105">
        <v>3577.2</v>
      </c>
      <c r="G40" s="105">
        <v>3099</v>
      </c>
      <c r="H40" s="105">
        <f>ROUND((B40+C40)/12,2)</f>
        <v>2415.0500000000002</v>
      </c>
      <c r="I40" s="105">
        <f>B40+C40+F40+G40+H40</f>
        <v>38071.820000000007</v>
      </c>
      <c r="J40" s="105">
        <f>ROUND(E40*$S$39+$G$40*$S$40+($F$40)*$S$41+($H$40)*$S$42+D40*$S$43,2)</f>
        <v>12172.04</v>
      </c>
      <c r="K40" s="105">
        <f>ROUND(I40*8.5%,0)</f>
        <v>3236</v>
      </c>
      <c r="L40" s="105">
        <f>I40+J40+K40</f>
        <v>53479.860000000008</v>
      </c>
      <c r="M40" s="105">
        <f>J40+K40</f>
        <v>15408.04</v>
      </c>
      <c r="N40" s="279" t="s">
        <v>164</v>
      </c>
      <c r="O40" s="84"/>
      <c r="P40" s="9"/>
      <c r="Q40" s="9"/>
      <c r="R40" s="96" t="s">
        <v>201</v>
      </c>
      <c r="S40" s="97">
        <v>0.24199999999999999</v>
      </c>
      <c r="T40" s="283"/>
      <c r="U40" s="88" t="s">
        <v>207</v>
      </c>
    </row>
    <row r="41" spans="1:22" ht="13.5" thickBot="1" x14ac:dyDescent="0.25">
      <c r="A41" s="107" t="s">
        <v>163</v>
      </c>
      <c r="B41" s="108">
        <v>25505.79</v>
      </c>
      <c r="C41" s="109">
        <f>E20</f>
        <v>255</v>
      </c>
      <c r="D41" s="110">
        <f>6545.24</f>
        <v>6545.24</v>
      </c>
      <c r="E41" s="110">
        <f>B41+C41-D41</f>
        <v>19215.550000000003</v>
      </c>
      <c r="F41" s="110">
        <v>3026.46</v>
      </c>
      <c r="G41" s="110"/>
      <c r="H41" s="110">
        <f>ROUND((B41+C41)/12,2)</f>
        <v>2146.73</v>
      </c>
      <c r="I41" s="110">
        <f>B41+C41+F41+G41+H41</f>
        <v>30933.98</v>
      </c>
      <c r="J41" s="110">
        <f>ROUND((I41)*$T$39,2)</f>
        <v>9243.07</v>
      </c>
      <c r="K41" s="110">
        <f>ROUND(I41*8.5%,0)</f>
        <v>2629</v>
      </c>
      <c r="L41" s="110">
        <f>I41+J41+K41</f>
        <v>42806.05</v>
      </c>
      <c r="M41" s="110">
        <f>J41+K41</f>
        <v>11872.07</v>
      </c>
      <c r="N41" s="280" t="s">
        <v>163</v>
      </c>
      <c r="O41" s="84"/>
      <c r="P41" s="9"/>
      <c r="Q41" s="9"/>
      <c r="R41" s="96" t="s">
        <v>203</v>
      </c>
      <c r="S41" s="97">
        <v>0.29880000000000001</v>
      </c>
      <c r="T41" s="283"/>
    </row>
    <row r="42" spans="1:22" ht="13.5" thickBot="1" x14ac:dyDescent="0.25">
      <c r="A42" s="112" t="s">
        <v>162</v>
      </c>
      <c r="B42" s="113">
        <v>22358.04</v>
      </c>
      <c r="C42" s="114">
        <f>E27</f>
        <v>223.56</v>
      </c>
      <c r="D42" s="115">
        <f>6450.08</f>
        <v>6450.08</v>
      </c>
      <c r="E42" s="115">
        <f>B42+C42-D42</f>
        <v>16131.520000000002</v>
      </c>
      <c r="F42" s="115">
        <v>2187.17</v>
      </c>
      <c r="G42" s="115"/>
      <c r="H42" s="115">
        <f>ROUND((B42+C42)/12,2)</f>
        <v>1881.8</v>
      </c>
      <c r="I42" s="115">
        <f>B42+C42+F42+G42+H42</f>
        <v>26650.570000000003</v>
      </c>
      <c r="J42" s="115">
        <f>ROUND((I42)*$T$39,2)</f>
        <v>7963.19</v>
      </c>
      <c r="K42" s="115">
        <f>ROUND(I42*8.5%,0)</f>
        <v>2265</v>
      </c>
      <c r="L42" s="115">
        <f>I42+J42+K42</f>
        <v>36878.76</v>
      </c>
      <c r="M42" s="115">
        <f>J42+K42</f>
        <v>10228.189999999999</v>
      </c>
      <c r="N42" s="281" t="s">
        <v>162</v>
      </c>
      <c r="O42" s="84"/>
      <c r="R42" s="96" t="s">
        <v>202</v>
      </c>
      <c r="S42" s="97">
        <v>0.29880000000000001</v>
      </c>
      <c r="T42" s="283"/>
      <c r="V42" s="6"/>
    </row>
    <row r="43" spans="1:22" ht="13.5" thickBot="1" x14ac:dyDescent="0.25">
      <c r="A43" s="117" t="s">
        <v>161</v>
      </c>
      <c r="B43" s="118">
        <v>21306.79</v>
      </c>
      <c r="C43" s="119">
        <f>E32</f>
        <v>213.12</v>
      </c>
      <c r="D43" s="120">
        <f>6332.96</f>
        <v>6332.96</v>
      </c>
      <c r="E43" s="120">
        <f>B43+C43-D43</f>
        <v>15186.95</v>
      </c>
      <c r="F43" s="120">
        <v>1646.36</v>
      </c>
      <c r="G43" s="120"/>
      <c r="H43" s="120">
        <f>ROUND((B43+C43)/12,2)</f>
        <v>1793.33</v>
      </c>
      <c r="I43" s="120">
        <f>B43+C43+F43+G43+H43</f>
        <v>24959.599999999999</v>
      </c>
      <c r="J43" s="120">
        <f>ROUND((I43)*$T$39,2)</f>
        <v>7457.93</v>
      </c>
      <c r="K43" s="120">
        <f>ROUND(I43*8.5%,0)</f>
        <v>2122</v>
      </c>
      <c r="L43" s="120">
        <f>I43+J43+K43</f>
        <v>34539.53</v>
      </c>
      <c r="M43" s="120">
        <f>J43+K43</f>
        <v>9579.93</v>
      </c>
      <c r="N43" s="282" t="s">
        <v>161</v>
      </c>
      <c r="O43" s="84"/>
      <c r="R43" s="96" t="s">
        <v>204</v>
      </c>
      <c r="S43" s="97">
        <v>0.29880000000000001</v>
      </c>
      <c r="T43" s="283"/>
      <c r="V43" s="6"/>
    </row>
    <row r="44" spans="1:22" ht="13.5" thickBot="1" x14ac:dyDescent="0.25">
      <c r="P44" s="9"/>
      <c r="Q44" s="9"/>
      <c r="R44" s="96" t="s">
        <v>205</v>
      </c>
      <c r="S44" s="97">
        <v>8.5000000000000006E-2</v>
      </c>
      <c r="T44" s="97">
        <v>8.5000000000000006E-2</v>
      </c>
    </row>
    <row r="45" spans="1:22" ht="51.75" thickBot="1" x14ac:dyDescent="0.25">
      <c r="A45" s="130" t="s">
        <v>165</v>
      </c>
      <c r="B45" s="277" t="s">
        <v>225</v>
      </c>
      <c r="C45" s="131" t="s">
        <v>223</v>
      </c>
      <c r="D45" s="131" t="s">
        <v>224</v>
      </c>
      <c r="E45" s="131" t="s">
        <v>37</v>
      </c>
      <c r="F45" s="131" t="s">
        <v>38</v>
      </c>
      <c r="G45" s="131" t="s">
        <v>39</v>
      </c>
      <c r="H45" s="131" t="s">
        <v>40</v>
      </c>
      <c r="I45" s="132" t="s">
        <v>165</v>
      </c>
      <c r="P45" s="9"/>
      <c r="Q45" s="9"/>
      <c r="R45" s="9"/>
      <c r="S45" s="9"/>
      <c r="T45" s="9"/>
    </row>
    <row r="46" spans="1:22" ht="26.25" thickBot="1" x14ac:dyDescent="0.25">
      <c r="A46" s="102" t="s">
        <v>164</v>
      </c>
      <c r="B46" s="103">
        <v>2030.76</v>
      </c>
      <c r="C46" s="105">
        <f>D46-B46</f>
        <v>169.24</v>
      </c>
      <c r="D46" s="105">
        <v>2200</v>
      </c>
      <c r="E46" s="105">
        <f>ROUND((D46)*$T$39,2)</f>
        <v>657.36</v>
      </c>
      <c r="F46" s="105">
        <f>ROUND(D46*8.5%,0)</f>
        <v>187</v>
      </c>
      <c r="G46" s="105">
        <f>D46+E46+F46</f>
        <v>3044.36</v>
      </c>
      <c r="H46" s="105">
        <f>E46+F46</f>
        <v>844.36</v>
      </c>
      <c r="I46" s="279" t="s">
        <v>164</v>
      </c>
      <c r="P46" s="9"/>
      <c r="Q46" s="9"/>
      <c r="R46" s="9"/>
      <c r="S46" s="9"/>
      <c r="T46" s="9"/>
    </row>
    <row r="47" spans="1:22" ht="13.5" thickBot="1" x14ac:dyDescent="0.25">
      <c r="A47" s="107" t="s">
        <v>163</v>
      </c>
      <c r="B47" s="108">
        <v>1430.76</v>
      </c>
      <c r="C47" s="108">
        <f t="shared" ref="C47:C49" si="18">D47-B47</f>
        <v>119.24000000000001</v>
      </c>
      <c r="D47" s="110">
        <v>1550</v>
      </c>
      <c r="E47" s="110">
        <f>ROUND((D47)*$T$39,2)</f>
        <v>463.14</v>
      </c>
      <c r="F47" s="110">
        <f>ROUND(D47*8.5%,0)</f>
        <v>132</v>
      </c>
      <c r="G47" s="110">
        <f>D47+E47+F47</f>
        <v>2145.14</v>
      </c>
      <c r="H47" s="110">
        <f>E47+F47</f>
        <v>595.14</v>
      </c>
      <c r="I47" s="280" t="s">
        <v>163</v>
      </c>
      <c r="P47" s="9"/>
      <c r="Q47" s="9"/>
      <c r="R47" s="9"/>
      <c r="S47" s="9"/>
      <c r="T47" s="9"/>
    </row>
    <row r="48" spans="1:22" ht="13.5" thickBot="1" x14ac:dyDescent="0.25">
      <c r="A48" s="112" t="s">
        <v>162</v>
      </c>
      <c r="B48" s="113">
        <v>1246.2</v>
      </c>
      <c r="C48" s="113">
        <f t="shared" si="18"/>
        <v>103.79999999999995</v>
      </c>
      <c r="D48" s="115">
        <v>1350</v>
      </c>
      <c r="E48" s="115">
        <f>ROUND((D48)*$T$39,2)</f>
        <v>403.38</v>
      </c>
      <c r="F48" s="115">
        <f>ROUND(D48*8.5%,0)</f>
        <v>115</v>
      </c>
      <c r="G48" s="115">
        <f>D48+E48+F48</f>
        <v>1868.38</v>
      </c>
      <c r="H48" s="115">
        <f>E48+F48</f>
        <v>518.38</v>
      </c>
      <c r="I48" s="281" t="s">
        <v>162</v>
      </c>
      <c r="P48" s="9"/>
      <c r="Q48" s="9"/>
      <c r="R48" s="9"/>
      <c r="S48" s="9"/>
      <c r="T48" s="9"/>
    </row>
    <row r="49" spans="1:20" ht="13.5" thickBot="1" x14ac:dyDescent="0.25">
      <c r="A49" s="117" t="s">
        <v>161</v>
      </c>
      <c r="B49" s="118">
        <v>1107.72</v>
      </c>
      <c r="C49" s="118">
        <f t="shared" si="18"/>
        <v>92.279999999999973</v>
      </c>
      <c r="D49" s="120">
        <v>1200</v>
      </c>
      <c r="E49" s="120">
        <f>ROUND((D49)*$T$39,2)</f>
        <v>358.56</v>
      </c>
      <c r="F49" s="120">
        <f>ROUND(D49*8.5%,0)</f>
        <v>102</v>
      </c>
      <c r="G49" s="120">
        <f>D49+E49+F49</f>
        <v>1660.56</v>
      </c>
      <c r="H49" s="120">
        <f>E49+F49</f>
        <v>460.56</v>
      </c>
      <c r="I49" s="282" t="s">
        <v>161</v>
      </c>
      <c r="P49" s="9"/>
      <c r="Q49" s="9"/>
      <c r="R49" s="9"/>
      <c r="S49" s="9"/>
      <c r="T49" s="9"/>
    </row>
  </sheetData>
  <mergeCells count="23">
    <mergeCell ref="T39:T43"/>
    <mergeCell ref="Z4:Z8"/>
    <mergeCell ref="A5:A12"/>
    <mergeCell ref="C5:C12"/>
    <mergeCell ref="H5:H12"/>
    <mergeCell ref="J5:J12"/>
    <mergeCell ref="K5:K12"/>
    <mergeCell ref="S5:S12"/>
    <mergeCell ref="A21:A27"/>
    <mergeCell ref="C21:C27"/>
    <mergeCell ref="H21:H27"/>
    <mergeCell ref="K21:K27"/>
    <mergeCell ref="S21:S27"/>
    <mergeCell ref="A13:A20"/>
    <mergeCell ref="C13:C20"/>
    <mergeCell ref="H13:H20"/>
    <mergeCell ref="K13:K20"/>
    <mergeCell ref="S13:S20"/>
    <mergeCell ref="A28:A32"/>
    <mergeCell ref="C28:C32"/>
    <mergeCell ref="H28:H32"/>
    <mergeCell ref="K28:K32"/>
    <mergeCell ref="S28:S32"/>
  </mergeCells>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7241-9359-45B6-A7C6-F6CB93E868A1}">
  <sheetPr codeName="Foglio9"/>
  <dimension ref="A1:S41"/>
  <sheetViews>
    <sheetView zoomScaleNormal="100" workbookViewId="0">
      <selection activeCell="G23" sqref="G23"/>
    </sheetView>
  </sheetViews>
  <sheetFormatPr defaultRowHeight="12.75" x14ac:dyDescent="0.2"/>
  <cols>
    <col min="1" max="1" width="15.42578125" style="37" customWidth="1"/>
    <col min="2" max="2" width="16" style="37" customWidth="1"/>
    <col min="3" max="3" width="14.85546875" style="37" customWidth="1"/>
    <col min="4" max="5" width="16.140625" style="37" customWidth="1"/>
    <col min="6" max="6" width="16.85546875" style="37" customWidth="1"/>
    <col min="7" max="7" width="17.140625" style="37" customWidth="1"/>
    <col min="8" max="8" width="6.140625" style="37" customWidth="1"/>
    <col min="9" max="11" width="13.7109375" style="60" customWidth="1"/>
    <col min="12" max="12" width="5.7109375" style="37" customWidth="1"/>
    <col min="13" max="13" width="35" style="37" bestFit="1" customWidth="1"/>
    <col min="14" max="16" width="9.140625" style="37"/>
    <col min="17" max="17" width="9.7109375" style="37" customWidth="1"/>
    <col min="19" max="16384" width="9.140625" style="37"/>
  </cols>
  <sheetData>
    <row r="1" spans="1:19" ht="13.5" thickBot="1" x14ac:dyDescent="0.25">
      <c r="R1" s="37"/>
    </row>
    <row r="2" spans="1:19" ht="18.75" x14ac:dyDescent="0.2">
      <c r="A2" s="51" t="s">
        <v>47</v>
      </c>
      <c r="B2" s="52"/>
      <c r="C2" s="52"/>
      <c r="D2" s="53"/>
      <c r="E2" s="52"/>
      <c r="F2" s="51" t="s">
        <v>80</v>
      </c>
      <c r="G2" s="44"/>
      <c r="M2" s="51" t="s">
        <v>83</v>
      </c>
      <c r="R2" s="37"/>
    </row>
    <row r="3" spans="1:19" x14ac:dyDescent="0.2">
      <c r="A3" s="46" t="s">
        <v>74</v>
      </c>
      <c r="B3" s="38"/>
      <c r="C3" s="38"/>
      <c r="D3" s="45"/>
      <c r="E3" s="38"/>
      <c r="F3" s="54"/>
      <c r="G3" s="55"/>
      <c r="M3" s="46" t="s">
        <v>86</v>
      </c>
      <c r="R3" s="37"/>
    </row>
    <row r="4" spans="1:19" x14ac:dyDescent="0.2">
      <c r="A4" s="47" t="s">
        <v>29</v>
      </c>
      <c r="B4" s="38"/>
      <c r="C4" s="38"/>
      <c r="D4" s="45"/>
      <c r="E4" s="38"/>
      <c r="F4" s="54"/>
      <c r="G4" s="55"/>
      <c r="I4" s="341" t="s">
        <v>102</v>
      </c>
      <c r="J4" s="342"/>
      <c r="K4" s="343"/>
      <c r="R4" s="37"/>
    </row>
    <row r="5" spans="1:19" ht="13.5" thickBot="1" x14ac:dyDescent="0.25">
      <c r="A5" s="48"/>
      <c r="B5" s="49"/>
      <c r="C5" s="49"/>
      <c r="D5" s="50"/>
      <c r="E5" s="49"/>
      <c r="F5" s="56"/>
      <c r="G5" s="57"/>
      <c r="I5" s="338" t="s">
        <v>87</v>
      </c>
      <c r="J5" s="339"/>
      <c r="K5" s="340"/>
      <c r="R5" s="37"/>
    </row>
    <row r="6" spans="1:19" ht="38.25" x14ac:dyDescent="0.2">
      <c r="A6" s="43" t="s">
        <v>28</v>
      </c>
      <c r="B6" s="43" t="s">
        <v>75</v>
      </c>
      <c r="C6" s="43" t="s">
        <v>76</v>
      </c>
      <c r="D6" s="43" t="s">
        <v>77</v>
      </c>
      <c r="E6" s="43" t="s">
        <v>93</v>
      </c>
      <c r="F6" s="43" t="s">
        <v>78</v>
      </c>
      <c r="G6" s="43" t="s">
        <v>99</v>
      </c>
      <c r="H6" s="58"/>
      <c r="I6" s="61" t="s">
        <v>97</v>
      </c>
      <c r="J6" s="61" t="s">
        <v>100</v>
      </c>
      <c r="K6" s="61" t="s">
        <v>101</v>
      </c>
      <c r="M6" s="1" t="s">
        <v>84</v>
      </c>
      <c r="N6" s="1" t="s">
        <v>77</v>
      </c>
      <c r="P6" s="1" t="s">
        <v>90</v>
      </c>
      <c r="Q6" s="1" t="s">
        <v>28</v>
      </c>
      <c r="R6" s="1" t="s">
        <v>91</v>
      </c>
      <c r="S6" s="1" t="s">
        <v>92</v>
      </c>
    </row>
    <row r="7" spans="1:19" ht="14.1" customHeight="1" x14ac:dyDescent="0.2">
      <c r="A7" s="39" t="s">
        <v>50</v>
      </c>
      <c r="B7" s="40">
        <v>37043.120000000003</v>
      </c>
      <c r="C7" s="40">
        <v>37277.120000000003</v>
      </c>
      <c r="D7" s="40">
        <v>37908.32</v>
      </c>
      <c r="E7" s="40">
        <v>0</v>
      </c>
      <c r="F7" s="40"/>
      <c r="G7" s="40">
        <f>D7+F7</f>
        <v>37908.32</v>
      </c>
      <c r="H7" s="59"/>
      <c r="I7" s="65">
        <f>'IVC Nuova'!B3*12</f>
        <v>113.76</v>
      </c>
      <c r="J7" s="65">
        <f>'IVC Nuova'!C3*12</f>
        <v>189.60000000000002</v>
      </c>
      <c r="K7" s="65">
        <f>'IVC Nuova'!D3*12</f>
        <v>189.60000000000002</v>
      </c>
      <c r="M7" s="42" t="s">
        <v>79</v>
      </c>
      <c r="N7" s="40">
        <v>92.6</v>
      </c>
      <c r="P7" s="62" t="s">
        <v>79</v>
      </c>
      <c r="Q7" s="63" t="s">
        <v>50</v>
      </c>
      <c r="R7" s="64">
        <v>3729.17</v>
      </c>
      <c r="S7" s="64">
        <f>R7+VLOOKUP(P7,$M$7:$N$10,2,FALSE)</f>
        <v>3821.77</v>
      </c>
    </row>
    <row r="8" spans="1:19" ht="14.1" customHeight="1" x14ac:dyDescent="0.2">
      <c r="A8" s="39" t="s">
        <v>51</v>
      </c>
      <c r="B8" s="40">
        <v>35943.120000000003</v>
      </c>
      <c r="C8" s="40">
        <v>36177.120000000003</v>
      </c>
      <c r="D8" s="40">
        <v>36808.32</v>
      </c>
      <c r="E8" s="40">
        <v>0</v>
      </c>
      <c r="F8" s="40"/>
      <c r="G8" s="40">
        <f t="shared" ref="G8:G38" si="0">D8+F8</f>
        <v>36808.32</v>
      </c>
      <c r="H8" s="59"/>
      <c r="I8" s="65">
        <f>'IVC Nuova'!B4*12</f>
        <v>110.39999999999999</v>
      </c>
      <c r="J8" s="65">
        <f>'IVC Nuova'!C4*12</f>
        <v>184.07999999999998</v>
      </c>
      <c r="K8" s="65">
        <f>'IVC Nuova'!D4*12</f>
        <v>184.07999999999998</v>
      </c>
      <c r="M8" s="42" t="s">
        <v>48</v>
      </c>
      <c r="N8" s="40">
        <v>72.099999999999994</v>
      </c>
      <c r="P8" s="42" t="s">
        <v>79</v>
      </c>
      <c r="Q8" s="39" t="s">
        <v>51</v>
      </c>
      <c r="R8" s="40">
        <v>3729.17</v>
      </c>
      <c r="S8" s="64">
        <f t="shared" ref="S8:S37" si="1">R8+VLOOKUP(P8,$M$7:$N$10,2,FALSE)</f>
        <v>3821.77</v>
      </c>
    </row>
    <row r="9" spans="1:19" ht="14.1" customHeight="1" x14ac:dyDescent="0.2">
      <c r="A9" s="39" t="s">
        <v>52</v>
      </c>
      <c r="B9" s="40">
        <v>34533.75</v>
      </c>
      <c r="C9" s="40">
        <v>34767.75</v>
      </c>
      <c r="D9" s="40">
        <v>35398.949999999997</v>
      </c>
      <c r="E9" s="40">
        <v>0</v>
      </c>
      <c r="F9" s="40"/>
      <c r="G9" s="40">
        <f t="shared" si="0"/>
        <v>35398.949999999997</v>
      </c>
      <c r="H9" s="59"/>
      <c r="I9" s="65">
        <f>'IVC Nuova'!B5*12</f>
        <v>106.19999999999999</v>
      </c>
      <c r="J9" s="65">
        <f>'IVC Nuova'!C5*12</f>
        <v>177</v>
      </c>
      <c r="K9" s="65">
        <f>'IVC Nuova'!D5*12</f>
        <v>177</v>
      </c>
      <c r="M9" s="42" t="s">
        <v>85</v>
      </c>
      <c r="N9" s="40">
        <v>50.4</v>
      </c>
      <c r="P9" s="42" t="s">
        <v>79</v>
      </c>
      <c r="Q9" s="39" t="s">
        <v>52</v>
      </c>
      <c r="R9" s="40">
        <v>3729.17</v>
      </c>
      <c r="S9" s="64">
        <f t="shared" si="1"/>
        <v>3821.77</v>
      </c>
    </row>
    <row r="10" spans="1:19" ht="14.1" customHeight="1" x14ac:dyDescent="0.2">
      <c r="A10" s="39" t="s">
        <v>53</v>
      </c>
      <c r="B10" s="40">
        <v>33183.85</v>
      </c>
      <c r="C10" s="40">
        <v>33417.85</v>
      </c>
      <c r="D10" s="40">
        <v>34049.050000000003</v>
      </c>
      <c r="E10" s="40">
        <v>0</v>
      </c>
      <c r="F10" s="40"/>
      <c r="G10" s="40">
        <f t="shared" si="0"/>
        <v>34049.050000000003</v>
      </c>
      <c r="H10" s="59"/>
      <c r="I10" s="65">
        <f>'IVC Nuova'!B6*12</f>
        <v>102.12</v>
      </c>
      <c r="J10" s="65">
        <f>'IVC Nuova'!C6*12</f>
        <v>170.28</v>
      </c>
      <c r="K10" s="65">
        <f>'IVC Nuova'!D6*12</f>
        <v>170.28</v>
      </c>
      <c r="M10" s="42" t="s">
        <v>49</v>
      </c>
      <c r="N10" s="40">
        <v>37.1</v>
      </c>
      <c r="P10" s="42" t="s">
        <v>79</v>
      </c>
      <c r="Q10" s="39" t="s">
        <v>53</v>
      </c>
      <c r="R10" s="40">
        <v>3729.17</v>
      </c>
      <c r="S10" s="64">
        <f t="shared" si="1"/>
        <v>3821.77</v>
      </c>
    </row>
    <row r="11" spans="1:19" ht="14.1" customHeight="1" x14ac:dyDescent="0.2">
      <c r="A11" s="39" t="s">
        <v>54</v>
      </c>
      <c r="B11" s="40">
        <v>31727.47</v>
      </c>
      <c r="C11" s="40">
        <v>31961.47</v>
      </c>
      <c r="D11" s="40">
        <v>32592.67</v>
      </c>
      <c r="E11" s="40">
        <v>0</v>
      </c>
      <c r="F11" s="40"/>
      <c r="G11" s="40">
        <f t="shared" si="0"/>
        <v>32592.67</v>
      </c>
      <c r="H11" s="59"/>
      <c r="I11" s="65">
        <f>'IVC Nuova'!B7*12</f>
        <v>97.800000000000011</v>
      </c>
      <c r="J11" s="65">
        <f>'IVC Nuova'!C7*12</f>
        <v>162.96</v>
      </c>
      <c r="K11" s="65">
        <f>'IVC Nuova'!D7*12</f>
        <v>162.96</v>
      </c>
      <c r="P11" s="42" t="s">
        <v>79</v>
      </c>
      <c r="Q11" s="39" t="s">
        <v>54</v>
      </c>
      <c r="R11" s="40">
        <v>3729.17</v>
      </c>
      <c r="S11" s="64">
        <f t="shared" si="1"/>
        <v>3821.77</v>
      </c>
    </row>
    <row r="12" spans="1:19" ht="14.1" customHeight="1" x14ac:dyDescent="0.2">
      <c r="A12" s="39" t="s">
        <v>55</v>
      </c>
      <c r="B12" s="40">
        <v>29343.58</v>
      </c>
      <c r="C12" s="40">
        <v>29577.58</v>
      </c>
      <c r="D12" s="40">
        <v>30208.78</v>
      </c>
      <c r="E12" s="40">
        <v>0</v>
      </c>
      <c r="F12" s="40"/>
      <c r="G12" s="40">
        <f t="shared" si="0"/>
        <v>30208.78</v>
      </c>
      <c r="H12" s="59"/>
      <c r="I12" s="65">
        <f>'IVC Nuova'!B8*12</f>
        <v>90.6</v>
      </c>
      <c r="J12" s="65">
        <f>'IVC Nuova'!C8*12</f>
        <v>151.07999999999998</v>
      </c>
      <c r="K12" s="65">
        <f>'IVC Nuova'!D8*12</f>
        <v>151.07999999999998</v>
      </c>
      <c r="P12" s="42" t="s">
        <v>79</v>
      </c>
      <c r="Q12" s="39" t="s">
        <v>55</v>
      </c>
      <c r="R12" s="40">
        <v>2816.8</v>
      </c>
      <c r="S12" s="64">
        <f t="shared" si="1"/>
        <v>2909.4</v>
      </c>
    </row>
    <row r="13" spans="1:19" ht="14.1" customHeight="1" x14ac:dyDescent="0.2">
      <c r="A13" s="39" t="s">
        <v>56</v>
      </c>
      <c r="B13" s="40">
        <v>27728.240000000002</v>
      </c>
      <c r="C13" s="40">
        <v>27962.240000000002</v>
      </c>
      <c r="D13" s="40">
        <v>28593.439999999999</v>
      </c>
      <c r="E13" s="40">
        <v>0</v>
      </c>
      <c r="F13" s="40"/>
      <c r="G13" s="40">
        <f t="shared" si="0"/>
        <v>28593.439999999999</v>
      </c>
      <c r="H13" s="59"/>
      <c r="I13" s="65">
        <f>'IVC Nuova'!B9*12</f>
        <v>85.800000000000011</v>
      </c>
      <c r="J13" s="65">
        <f>'IVC Nuova'!C9*12</f>
        <v>142.92000000000002</v>
      </c>
      <c r="K13" s="65">
        <f>'IVC Nuova'!D9*12</f>
        <v>142.92000000000002</v>
      </c>
      <c r="P13" s="42" t="s">
        <v>79</v>
      </c>
      <c r="Q13" s="39" t="s">
        <v>56</v>
      </c>
      <c r="R13" s="40">
        <v>2816.8</v>
      </c>
      <c r="S13" s="64">
        <f t="shared" si="1"/>
        <v>2909.4</v>
      </c>
    </row>
    <row r="14" spans="1:19" ht="14.1" customHeight="1" x14ac:dyDescent="0.2">
      <c r="A14" s="39" t="s">
        <v>57</v>
      </c>
      <c r="B14" s="40">
        <v>26024.85</v>
      </c>
      <c r="C14" s="40">
        <v>26258.85</v>
      </c>
      <c r="D14" s="40">
        <v>26890.05</v>
      </c>
      <c r="E14" s="40">
        <v>0</v>
      </c>
      <c r="F14" s="40"/>
      <c r="G14" s="40">
        <f t="shared" si="0"/>
        <v>26890.05</v>
      </c>
      <c r="H14" s="59"/>
      <c r="I14" s="65">
        <f>'IVC Nuova'!B10*12</f>
        <v>80.64</v>
      </c>
      <c r="J14" s="65">
        <f>'IVC Nuova'!C10*12</f>
        <v>134.39999999999998</v>
      </c>
      <c r="K14" s="65">
        <f>'IVC Nuova'!D10*12</f>
        <v>134.39999999999998</v>
      </c>
      <c r="P14" s="42" t="s">
        <v>79</v>
      </c>
      <c r="Q14" s="39" t="s">
        <v>57</v>
      </c>
      <c r="R14" s="40">
        <v>2816.8</v>
      </c>
      <c r="S14" s="64">
        <f t="shared" si="1"/>
        <v>2909.4</v>
      </c>
    </row>
    <row r="15" spans="1:19" ht="14.1" customHeight="1" x14ac:dyDescent="0.2">
      <c r="A15" s="39" t="s">
        <v>58</v>
      </c>
      <c r="B15" s="40">
        <v>30310.86</v>
      </c>
      <c r="C15" s="40">
        <v>30513.66</v>
      </c>
      <c r="D15" s="40">
        <v>31062.06</v>
      </c>
      <c r="E15" s="40">
        <v>0</v>
      </c>
      <c r="F15" s="40"/>
      <c r="G15" s="40">
        <f t="shared" si="0"/>
        <v>31062.06</v>
      </c>
      <c r="H15" s="59"/>
      <c r="I15" s="65">
        <f>'IVC Nuova'!B11*12</f>
        <v>93.24</v>
      </c>
      <c r="J15" s="65">
        <f>'IVC Nuova'!C11*12</f>
        <v>155.28</v>
      </c>
      <c r="K15" s="65">
        <f>'IVC Nuova'!D11*12</f>
        <v>155.28</v>
      </c>
      <c r="P15" s="42" t="s">
        <v>48</v>
      </c>
      <c r="Q15" s="39" t="s">
        <v>58</v>
      </c>
      <c r="R15" s="40">
        <v>2350.06</v>
      </c>
      <c r="S15" s="64">
        <f t="shared" si="1"/>
        <v>2422.16</v>
      </c>
    </row>
    <row r="16" spans="1:19" ht="14.1" customHeight="1" x14ac:dyDescent="0.2">
      <c r="A16" s="39" t="s">
        <v>59</v>
      </c>
      <c r="B16" s="40">
        <v>29410.86</v>
      </c>
      <c r="C16" s="40">
        <v>29613.66</v>
      </c>
      <c r="D16" s="40">
        <v>30162.06</v>
      </c>
      <c r="E16" s="40">
        <v>0</v>
      </c>
      <c r="F16" s="40"/>
      <c r="G16" s="40">
        <f t="shared" si="0"/>
        <v>30162.06</v>
      </c>
      <c r="H16" s="59"/>
      <c r="I16" s="65">
        <f>'IVC Nuova'!B12*12</f>
        <v>90.48</v>
      </c>
      <c r="J16" s="65">
        <f>'IVC Nuova'!C12*12</f>
        <v>150.84</v>
      </c>
      <c r="K16" s="65">
        <f>'IVC Nuova'!D12*12</f>
        <v>150.84</v>
      </c>
      <c r="P16" s="42" t="s">
        <v>48</v>
      </c>
      <c r="Q16" s="39" t="s">
        <v>59</v>
      </c>
      <c r="R16" s="40">
        <v>2350.06</v>
      </c>
      <c r="S16" s="64">
        <f t="shared" si="1"/>
        <v>2422.16</v>
      </c>
    </row>
    <row r="17" spans="1:19" ht="14.1" customHeight="1" x14ac:dyDescent="0.2">
      <c r="A17" s="39" t="s">
        <v>60</v>
      </c>
      <c r="B17" s="40">
        <v>28354.48</v>
      </c>
      <c r="C17" s="40">
        <v>28557.279999999999</v>
      </c>
      <c r="D17" s="40">
        <v>29105.68</v>
      </c>
      <c r="E17" s="40">
        <v>0</v>
      </c>
      <c r="F17" s="40"/>
      <c r="G17" s="40">
        <f t="shared" si="0"/>
        <v>29105.68</v>
      </c>
      <c r="H17" s="59"/>
      <c r="I17" s="65">
        <f>'IVC Nuova'!B13*12</f>
        <v>87.36</v>
      </c>
      <c r="J17" s="65">
        <f>'IVC Nuova'!C13*12</f>
        <v>145.56</v>
      </c>
      <c r="K17" s="65">
        <f>'IVC Nuova'!D13*12</f>
        <v>145.56</v>
      </c>
      <c r="P17" s="42" t="s">
        <v>48</v>
      </c>
      <c r="Q17" s="39" t="s">
        <v>60</v>
      </c>
      <c r="R17" s="40">
        <v>2350.06</v>
      </c>
      <c r="S17" s="64">
        <f t="shared" si="1"/>
        <v>2422.16</v>
      </c>
    </row>
    <row r="18" spans="1:19" ht="14.1" customHeight="1" x14ac:dyDescent="0.2">
      <c r="A18" s="39" t="s">
        <v>61</v>
      </c>
      <c r="B18" s="40">
        <v>27340.5</v>
      </c>
      <c r="C18" s="40">
        <v>27543.3</v>
      </c>
      <c r="D18" s="40">
        <v>28091.7</v>
      </c>
      <c r="E18" s="40">
        <v>0</v>
      </c>
      <c r="F18" s="40"/>
      <c r="G18" s="40">
        <f t="shared" si="0"/>
        <v>28091.7</v>
      </c>
      <c r="H18" s="59"/>
      <c r="I18" s="65">
        <f>'IVC Nuova'!B14*12</f>
        <v>84.24</v>
      </c>
      <c r="J18" s="65">
        <f>'IVC Nuova'!C14*12</f>
        <v>140.39999999999998</v>
      </c>
      <c r="K18" s="65">
        <f>'IVC Nuova'!D14*12</f>
        <v>140.39999999999998</v>
      </c>
      <c r="P18" s="42" t="s">
        <v>48</v>
      </c>
      <c r="Q18" s="39" t="s">
        <v>61</v>
      </c>
      <c r="R18" s="40">
        <v>2350.06</v>
      </c>
      <c r="S18" s="64">
        <f t="shared" si="1"/>
        <v>2422.16</v>
      </c>
    </row>
    <row r="19" spans="1:19" ht="14.1" customHeight="1" x14ac:dyDescent="0.2">
      <c r="A19" s="39" t="s">
        <v>62</v>
      </c>
      <c r="B19" s="40">
        <v>26372.28</v>
      </c>
      <c r="C19" s="40">
        <v>26575.08</v>
      </c>
      <c r="D19" s="40">
        <v>27123.48</v>
      </c>
      <c r="E19" s="40">
        <v>0</v>
      </c>
      <c r="F19" s="40"/>
      <c r="G19" s="40">
        <f t="shared" si="0"/>
        <v>27123.48</v>
      </c>
      <c r="H19" s="59"/>
      <c r="I19" s="65">
        <f>'IVC Nuova'!B15*12</f>
        <v>81.36</v>
      </c>
      <c r="J19" s="65">
        <f>'IVC Nuova'!C15*12</f>
        <v>135.60000000000002</v>
      </c>
      <c r="K19" s="65">
        <f>'IVC Nuova'!D15*12</f>
        <v>135.60000000000002</v>
      </c>
      <c r="P19" s="42" t="s">
        <v>48</v>
      </c>
      <c r="Q19" s="39" t="s">
        <v>62</v>
      </c>
      <c r="R19" s="40">
        <v>2350.06</v>
      </c>
      <c r="S19" s="64">
        <f t="shared" si="1"/>
        <v>2422.16</v>
      </c>
    </row>
    <row r="20" spans="1:19" ht="14.1" customHeight="1" x14ac:dyDescent="0.2">
      <c r="A20" s="39" t="s">
        <v>63</v>
      </c>
      <c r="B20" s="40">
        <v>25060.73</v>
      </c>
      <c r="C20" s="40">
        <v>25263.53</v>
      </c>
      <c r="D20" s="40">
        <v>25811.93</v>
      </c>
      <c r="E20" s="40">
        <v>0</v>
      </c>
      <c r="F20" s="40"/>
      <c r="G20" s="40">
        <f t="shared" si="0"/>
        <v>25811.93</v>
      </c>
      <c r="H20" s="59"/>
      <c r="I20" s="65">
        <f>'IVC Nuova'!B16*12</f>
        <v>77.400000000000006</v>
      </c>
      <c r="J20" s="65">
        <f>'IVC Nuova'!C16*12</f>
        <v>129</v>
      </c>
      <c r="K20" s="65">
        <f>'IVC Nuova'!D16*12</f>
        <v>129</v>
      </c>
      <c r="P20" s="42" t="s">
        <v>48</v>
      </c>
      <c r="Q20" s="39" t="s">
        <v>63</v>
      </c>
      <c r="R20" s="40">
        <v>2350.06</v>
      </c>
      <c r="S20" s="64">
        <f t="shared" si="1"/>
        <v>2422.16</v>
      </c>
    </row>
    <row r="21" spans="1:19" ht="14.1" customHeight="1" x14ac:dyDescent="0.2">
      <c r="A21" s="39" t="s">
        <v>64</v>
      </c>
      <c r="B21" s="40">
        <v>23985.759999999998</v>
      </c>
      <c r="C21" s="40">
        <v>24188.560000000001</v>
      </c>
      <c r="D21" s="40">
        <v>24736.959999999999</v>
      </c>
      <c r="E21" s="40">
        <v>84</v>
      </c>
      <c r="F21" s="40">
        <v>74.400000000000006</v>
      </c>
      <c r="G21" s="40">
        <f t="shared" si="0"/>
        <v>24811.360000000001</v>
      </c>
      <c r="H21" s="59"/>
      <c r="I21" s="65">
        <f>'IVC Nuova'!B17*12</f>
        <v>74.16</v>
      </c>
      <c r="J21" s="65">
        <f>'IVC Nuova'!C17*12</f>
        <v>123.72</v>
      </c>
      <c r="K21" s="65">
        <f>'IVC Nuova'!D17*12</f>
        <v>124.08</v>
      </c>
      <c r="M21" s="59"/>
      <c r="P21" s="42" t="s">
        <v>48</v>
      </c>
      <c r="Q21" s="39" t="s">
        <v>64</v>
      </c>
      <c r="R21" s="40">
        <v>2350.06</v>
      </c>
      <c r="S21" s="64">
        <f t="shared" si="1"/>
        <v>2422.16</v>
      </c>
    </row>
    <row r="22" spans="1:19" ht="14.1" customHeight="1" x14ac:dyDescent="0.2">
      <c r="A22" s="39" t="s">
        <v>65</v>
      </c>
      <c r="B22" s="40">
        <v>23055.63</v>
      </c>
      <c r="C22" s="40">
        <v>23258.43</v>
      </c>
      <c r="D22" s="40">
        <v>23806.83</v>
      </c>
      <c r="E22" s="40">
        <v>108</v>
      </c>
      <c r="F22" s="40">
        <v>95.64</v>
      </c>
      <c r="G22" s="40">
        <f t="shared" si="0"/>
        <v>23902.47</v>
      </c>
      <c r="H22" s="59"/>
      <c r="I22" s="65">
        <f>'IVC Nuova'!B18*12</f>
        <v>71.400000000000006</v>
      </c>
      <c r="J22" s="65">
        <f>'IVC Nuova'!C18*12</f>
        <v>119.03999999999999</v>
      </c>
      <c r="K22" s="65">
        <f>'IVC Nuova'!D18*12</f>
        <v>119.52000000000001</v>
      </c>
      <c r="P22" s="42" t="s">
        <v>48</v>
      </c>
      <c r="Q22" s="39" t="s">
        <v>65</v>
      </c>
      <c r="R22" s="40">
        <v>2350.06</v>
      </c>
      <c r="S22" s="64">
        <f t="shared" si="1"/>
        <v>2422.16</v>
      </c>
    </row>
    <row r="23" spans="1:19" ht="14.1" customHeight="1" x14ac:dyDescent="0.2">
      <c r="A23" s="39" t="s">
        <v>66</v>
      </c>
      <c r="B23" s="40">
        <v>25126.46</v>
      </c>
      <c r="C23" s="40">
        <v>25301.66</v>
      </c>
      <c r="D23" s="40">
        <v>25774.46</v>
      </c>
      <c r="E23" s="40">
        <v>0</v>
      </c>
      <c r="F23" s="40"/>
      <c r="G23" s="40">
        <f t="shared" si="0"/>
        <v>25774.46</v>
      </c>
      <c r="H23" s="59"/>
      <c r="I23" s="65">
        <f>'IVC Nuova'!B19*12</f>
        <v>77.28</v>
      </c>
      <c r="J23" s="65">
        <f>'IVC Nuova'!C19*12</f>
        <v>128.88</v>
      </c>
      <c r="K23" s="65">
        <f>'IVC Nuova'!D19*12</f>
        <v>128.88</v>
      </c>
      <c r="P23" s="42" t="s">
        <v>85</v>
      </c>
      <c r="Q23" s="39" t="s">
        <v>66</v>
      </c>
      <c r="R23" s="40">
        <v>1643.57</v>
      </c>
      <c r="S23" s="64">
        <f t="shared" si="1"/>
        <v>1693.97</v>
      </c>
    </row>
    <row r="24" spans="1:19" ht="14.1" customHeight="1" x14ac:dyDescent="0.2">
      <c r="A24" s="39" t="s">
        <v>67</v>
      </c>
      <c r="B24" s="40">
        <v>24326.46</v>
      </c>
      <c r="C24" s="40">
        <v>24501.66</v>
      </c>
      <c r="D24" s="40">
        <v>24974.46</v>
      </c>
      <c r="E24" s="40">
        <v>60</v>
      </c>
      <c r="F24" s="40">
        <v>53.16</v>
      </c>
      <c r="G24" s="40">
        <f t="shared" si="0"/>
        <v>25027.62</v>
      </c>
      <c r="H24" s="59"/>
      <c r="I24" s="65">
        <f>'IVC Nuova'!B20*12</f>
        <v>74.88</v>
      </c>
      <c r="J24" s="65">
        <f>'IVC Nuova'!C20*12</f>
        <v>124.92</v>
      </c>
      <c r="K24" s="65">
        <f>'IVC Nuova'!D20*12</f>
        <v>125.16</v>
      </c>
      <c r="P24" s="42" t="s">
        <v>85</v>
      </c>
      <c r="Q24" s="39" t="s">
        <v>67</v>
      </c>
      <c r="R24" s="40">
        <v>1643.57</v>
      </c>
      <c r="S24" s="64">
        <f t="shared" si="1"/>
        <v>1693.97</v>
      </c>
    </row>
    <row r="25" spans="1:19" ht="14.1" customHeight="1" x14ac:dyDescent="0.2">
      <c r="A25" s="39" t="s">
        <v>68</v>
      </c>
      <c r="B25" s="40">
        <v>23537.16</v>
      </c>
      <c r="C25" s="40">
        <v>23712.36</v>
      </c>
      <c r="D25" s="40">
        <v>24185.16</v>
      </c>
      <c r="E25" s="40">
        <v>96</v>
      </c>
      <c r="F25" s="40">
        <v>84.96</v>
      </c>
      <c r="G25" s="40">
        <f t="shared" si="0"/>
        <v>24270.12</v>
      </c>
      <c r="H25" s="59"/>
      <c r="I25" s="65">
        <f>'IVC Nuova'!B21*12</f>
        <v>72.599999999999994</v>
      </c>
      <c r="J25" s="65">
        <f>'IVC Nuova'!C21*12</f>
        <v>120.96000000000001</v>
      </c>
      <c r="K25" s="65">
        <f>'IVC Nuova'!D21*12</f>
        <v>121.32</v>
      </c>
      <c r="P25" s="42" t="s">
        <v>85</v>
      </c>
      <c r="Q25" s="39" t="s">
        <v>68</v>
      </c>
      <c r="R25" s="40">
        <v>1643.57</v>
      </c>
      <c r="S25" s="64">
        <f t="shared" si="1"/>
        <v>1693.97</v>
      </c>
    </row>
    <row r="26" spans="1:19" ht="14.1" customHeight="1" x14ac:dyDescent="0.2">
      <c r="A26" s="39" t="s">
        <v>69</v>
      </c>
      <c r="B26" s="40">
        <v>22776.12</v>
      </c>
      <c r="C26" s="40">
        <v>22951.32</v>
      </c>
      <c r="D26" s="40">
        <v>23424.12</v>
      </c>
      <c r="E26" s="40">
        <v>120</v>
      </c>
      <c r="F26" s="40">
        <v>106.2</v>
      </c>
      <c r="G26" s="40">
        <f t="shared" si="0"/>
        <v>23530.32</v>
      </c>
      <c r="H26" s="59"/>
      <c r="I26" s="65">
        <f>'IVC Nuova'!B22*12</f>
        <v>70.320000000000007</v>
      </c>
      <c r="J26" s="65">
        <f>'IVC Nuova'!C22*12</f>
        <v>117.12</v>
      </c>
      <c r="K26" s="65">
        <f>'IVC Nuova'!D22*12</f>
        <v>117.60000000000001</v>
      </c>
      <c r="P26" s="42" t="s">
        <v>85</v>
      </c>
      <c r="Q26" s="39" t="s">
        <v>69</v>
      </c>
      <c r="R26" s="40">
        <v>1643.57</v>
      </c>
      <c r="S26" s="64">
        <f t="shared" si="1"/>
        <v>1693.97</v>
      </c>
    </row>
    <row r="27" spans="1:19" ht="14.1" customHeight="1" x14ac:dyDescent="0.2">
      <c r="A27" s="39" t="s">
        <v>70</v>
      </c>
      <c r="B27" s="40">
        <v>22044.959999999999</v>
      </c>
      <c r="C27" s="40">
        <v>22220.16</v>
      </c>
      <c r="D27" s="40">
        <v>22692.959999999999</v>
      </c>
      <c r="E27" s="40">
        <v>156</v>
      </c>
      <c r="F27" s="40">
        <v>138.12</v>
      </c>
      <c r="G27" s="40">
        <f t="shared" si="0"/>
        <v>22831.079999999998</v>
      </c>
      <c r="H27" s="59"/>
      <c r="I27" s="65">
        <f>'IVC Nuova'!B23*12</f>
        <v>68.039999999999992</v>
      </c>
      <c r="J27" s="65">
        <f>'IVC Nuova'!C23*12</f>
        <v>113.52000000000001</v>
      </c>
      <c r="K27" s="65">
        <f>'IVC Nuova'!D23*12</f>
        <v>114.12</v>
      </c>
      <c r="P27" s="42" t="s">
        <v>85</v>
      </c>
      <c r="Q27" s="39" t="s">
        <v>70</v>
      </c>
      <c r="R27" s="40">
        <v>1643.57</v>
      </c>
      <c r="S27" s="64">
        <f t="shared" si="1"/>
        <v>1693.97</v>
      </c>
    </row>
    <row r="28" spans="1:19" ht="14.1" customHeight="1" x14ac:dyDescent="0.2">
      <c r="A28" s="39" t="s">
        <v>71</v>
      </c>
      <c r="B28" s="40">
        <v>20935.080000000002</v>
      </c>
      <c r="C28" s="40">
        <v>21110.28</v>
      </c>
      <c r="D28" s="40">
        <v>21583.08</v>
      </c>
      <c r="E28" s="40">
        <v>192</v>
      </c>
      <c r="F28" s="40">
        <v>169.92</v>
      </c>
      <c r="G28" s="40">
        <f t="shared" si="0"/>
        <v>21753</v>
      </c>
      <c r="H28" s="59"/>
      <c r="I28" s="65">
        <f>'IVC Nuova'!B24*12</f>
        <v>64.800000000000011</v>
      </c>
      <c r="J28" s="65">
        <f>'IVC Nuova'!C24*12</f>
        <v>107.88</v>
      </c>
      <c r="K28" s="65">
        <f>'IVC Nuova'!D24*12</f>
        <v>108.72</v>
      </c>
      <c r="P28" s="42" t="s">
        <v>85</v>
      </c>
      <c r="Q28" s="39" t="s">
        <v>71</v>
      </c>
      <c r="R28" s="40">
        <v>1643.57</v>
      </c>
      <c r="S28" s="64">
        <f t="shared" si="1"/>
        <v>1693.97</v>
      </c>
    </row>
    <row r="29" spans="1:19" ht="14.1" customHeight="1" x14ac:dyDescent="0.2">
      <c r="A29" s="39" t="s">
        <v>72</v>
      </c>
      <c r="B29" s="40">
        <v>20102.759999999998</v>
      </c>
      <c r="C29" s="40">
        <v>20277.96</v>
      </c>
      <c r="D29" s="40">
        <v>20750.759999999998</v>
      </c>
      <c r="E29" s="40">
        <v>228</v>
      </c>
      <c r="F29" s="40">
        <v>201.84</v>
      </c>
      <c r="G29" s="40">
        <f t="shared" si="0"/>
        <v>20952.599999999999</v>
      </c>
      <c r="H29" s="59"/>
      <c r="I29" s="65">
        <f>'IVC Nuova'!B25*12</f>
        <v>62.28</v>
      </c>
      <c r="J29" s="65">
        <f>'IVC Nuova'!C25*12</f>
        <v>103.80000000000001</v>
      </c>
      <c r="K29" s="65">
        <f>'IVC Nuova'!D25*12</f>
        <v>104.76</v>
      </c>
      <c r="P29" s="42" t="s">
        <v>85</v>
      </c>
      <c r="Q29" s="39" t="s">
        <v>72</v>
      </c>
      <c r="R29" s="40">
        <v>1643.57</v>
      </c>
      <c r="S29" s="64">
        <f t="shared" si="1"/>
        <v>1693.97</v>
      </c>
    </row>
    <row r="30" spans="1:19" ht="14.1" customHeight="1" x14ac:dyDescent="0.2">
      <c r="A30" s="39" t="s">
        <v>73</v>
      </c>
      <c r="B30" s="40">
        <v>19706.2</v>
      </c>
      <c r="C30" s="40">
        <v>19881.400000000001</v>
      </c>
      <c r="D30" s="40">
        <v>20354.2</v>
      </c>
      <c r="E30" s="40">
        <v>240</v>
      </c>
      <c r="F30" s="40">
        <v>212.4</v>
      </c>
      <c r="G30" s="40">
        <f t="shared" si="0"/>
        <v>20566.600000000002</v>
      </c>
      <c r="H30" s="59"/>
      <c r="I30" s="65">
        <f>'IVC Nuova'!B26*12</f>
        <v>61.08</v>
      </c>
      <c r="J30" s="65">
        <f>'IVC Nuova'!C26*12</f>
        <v>101.76</v>
      </c>
      <c r="K30" s="65">
        <f>'IVC Nuova'!D26*12</f>
        <v>102.84</v>
      </c>
      <c r="P30" s="42" t="s">
        <v>85</v>
      </c>
      <c r="Q30" s="39" t="s">
        <v>73</v>
      </c>
      <c r="R30" s="40">
        <v>1643.57</v>
      </c>
      <c r="S30" s="64">
        <f t="shared" si="1"/>
        <v>1693.97</v>
      </c>
    </row>
    <row r="31" spans="1:19" ht="14.1" customHeight="1" x14ac:dyDescent="0.2">
      <c r="A31" s="41" t="s">
        <v>31</v>
      </c>
      <c r="B31" s="40">
        <v>22321.119999999999</v>
      </c>
      <c r="C31" s="40">
        <v>22485.52</v>
      </c>
      <c r="D31" s="40">
        <v>22930.720000000001</v>
      </c>
      <c r="E31" s="40">
        <v>0</v>
      </c>
      <c r="F31" s="40"/>
      <c r="G31" s="40">
        <f t="shared" si="0"/>
        <v>22930.720000000001</v>
      </c>
      <c r="H31" s="59"/>
      <c r="I31" s="65">
        <f>'IVC Nuova'!B27*12</f>
        <v>68.760000000000005</v>
      </c>
      <c r="J31" s="65">
        <f>'IVC Nuova'!C27*12</f>
        <v>114.60000000000001</v>
      </c>
      <c r="K31" s="65">
        <f>'IVC Nuova'!D27*12</f>
        <v>114.60000000000001</v>
      </c>
      <c r="P31" s="42" t="s">
        <v>49</v>
      </c>
      <c r="Q31" s="41" t="s">
        <v>31</v>
      </c>
      <c r="R31" s="40">
        <v>1209.06</v>
      </c>
      <c r="S31" s="64">
        <f t="shared" si="1"/>
        <v>1246.1599999999999</v>
      </c>
    </row>
    <row r="32" spans="1:19" ht="14.1" customHeight="1" x14ac:dyDescent="0.2">
      <c r="A32" s="41" t="s">
        <v>21</v>
      </c>
      <c r="B32" s="40">
        <v>21621.119999999999</v>
      </c>
      <c r="C32" s="40">
        <v>21785.52</v>
      </c>
      <c r="D32" s="40">
        <v>22230.720000000001</v>
      </c>
      <c r="E32" s="40">
        <v>168</v>
      </c>
      <c r="F32" s="40">
        <v>148.68</v>
      </c>
      <c r="G32" s="40">
        <f t="shared" si="0"/>
        <v>22379.4</v>
      </c>
      <c r="H32" s="59"/>
      <c r="I32" s="65">
        <f>'IVC Nuova'!B28*12</f>
        <v>66.72</v>
      </c>
      <c r="J32" s="65">
        <f>'IVC Nuova'!C28*12</f>
        <v>111.12</v>
      </c>
      <c r="K32" s="65">
        <f>'IVC Nuova'!D28*12</f>
        <v>111.84</v>
      </c>
      <c r="P32" s="42" t="s">
        <v>49</v>
      </c>
      <c r="Q32" s="41" t="s">
        <v>21</v>
      </c>
      <c r="R32" s="40">
        <v>1209.06</v>
      </c>
      <c r="S32" s="64">
        <f t="shared" si="1"/>
        <v>1246.1599999999999</v>
      </c>
    </row>
    <row r="33" spans="1:19" ht="14.1" customHeight="1" x14ac:dyDescent="0.2">
      <c r="A33" s="41" t="s">
        <v>22</v>
      </c>
      <c r="B33" s="40">
        <v>20794.02</v>
      </c>
      <c r="C33" s="40">
        <v>20958.419999999998</v>
      </c>
      <c r="D33" s="40">
        <v>21403.62</v>
      </c>
      <c r="E33" s="40">
        <v>204</v>
      </c>
      <c r="F33" s="40">
        <v>180.6</v>
      </c>
      <c r="G33" s="40">
        <f t="shared" si="0"/>
        <v>21584.219999999998</v>
      </c>
      <c r="H33" s="59"/>
      <c r="I33" s="65">
        <f>'IVC Nuova'!B29*12</f>
        <v>64.199999999999989</v>
      </c>
      <c r="J33" s="65">
        <f>'IVC Nuova'!C29*12</f>
        <v>107.03999999999999</v>
      </c>
      <c r="K33" s="65">
        <f>'IVC Nuova'!D29*12</f>
        <v>107.88</v>
      </c>
      <c r="P33" s="42" t="s">
        <v>49</v>
      </c>
      <c r="Q33" s="41" t="s">
        <v>22</v>
      </c>
      <c r="R33" s="40">
        <v>1209.06</v>
      </c>
      <c r="S33" s="64">
        <f t="shared" si="1"/>
        <v>1246.1599999999999</v>
      </c>
    </row>
    <row r="34" spans="1:19" ht="14.1" customHeight="1" x14ac:dyDescent="0.2">
      <c r="A34" s="41" t="s">
        <v>23</v>
      </c>
      <c r="B34" s="40">
        <v>20001.64</v>
      </c>
      <c r="C34" s="40">
        <v>20166.04</v>
      </c>
      <c r="D34" s="40">
        <v>20611.240000000002</v>
      </c>
      <c r="E34" s="40">
        <v>228</v>
      </c>
      <c r="F34" s="40">
        <v>201.84</v>
      </c>
      <c r="G34" s="40">
        <f t="shared" si="0"/>
        <v>20813.080000000002</v>
      </c>
      <c r="H34" s="59"/>
      <c r="I34" s="65">
        <f>'IVC Nuova'!B30*12</f>
        <v>61.800000000000004</v>
      </c>
      <c r="J34" s="65">
        <f>'IVC Nuova'!C30*12</f>
        <v>103.08</v>
      </c>
      <c r="K34" s="65">
        <f>'IVC Nuova'!D30*12</f>
        <v>104.03999999999999</v>
      </c>
      <c r="P34" s="42" t="s">
        <v>49</v>
      </c>
      <c r="Q34" s="41" t="s">
        <v>23</v>
      </c>
      <c r="R34" s="40">
        <v>1209.06</v>
      </c>
      <c r="S34" s="64">
        <f t="shared" si="1"/>
        <v>1246.1599999999999</v>
      </c>
    </row>
    <row r="35" spans="1:19" ht="14.1" customHeight="1" x14ac:dyDescent="0.2">
      <c r="A35" s="41" t="s">
        <v>24</v>
      </c>
      <c r="B35" s="40">
        <v>19124.23</v>
      </c>
      <c r="C35" s="40">
        <v>19288.63</v>
      </c>
      <c r="D35" s="40">
        <v>19733.830000000002</v>
      </c>
      <c r="E35" s="40">
        <v>264</v>
      </c>
      <c r="F35" s="40">
        <v>233.64</v>
      </c>
      <c r="G35" s="40">
        <f t="shared" si="0"/>
        <v>19967.47</v>
      </c>
      <c r="H35" s="59"/>
      <c r="I35" s="65">
        <f>'IVC Nuova'!B31*12</f>
        <v>59.16</v>
      </c>
      <c r="J35" s="65">
        <f>'IVC Nuova'!C31*12</f>
        <v>98.640000000000015</v>
      </c>
      <c r="K35" s="65">
        <f>'IVC Nuova'!D31*12</f>
        <v>99.84</v>
      </c>
      <c r="P35" s="42" t="s">
        <v>49</v>
      </c>
      <c r="Q35" s="41" t="s">
        <v>24</v>
      </c>
      <c r="R35" s="40">
        <v>1209.06</v>
      </c>
      <c r="S35" s="64">
        <f t="shared" si="1"/>
        <v>1246.1599999999999</v>
      </c>
    </row>
    <row r="36" spans="1:19" ht="14.1" customHeight="1" x14ac:dyDescent="0.2">
      <c r="A36" s="41" t="s">
        <v>25</v>
      </c>
      <c r="B36" s="40">
        <v>18287.349999999999</v>
      </c>
      <c r="C36" s="40">
        <v>18451.75</v>
      </c>
      <c r="D36" s="40">
        <v>18896.95</v>
      </c>
      <c r="E36" s="40">
        <v>300</v>
      </c>
      <c r="F36" s="40">
        <v>265.56</v>
      </c>
      <c r="G36" s="40">
        <f t="shared" si="0"/>
        <v>19162.510000000002</v>
      </c>
      <c r="H36" s="59"/>
      <c r="I36" s="65">
        <f>'IVC Nuova'!B32*12</f>
        <v>56.64</v>
      </c>
      <c r="J36" s="65">
        <f>'IVC Nuova'!C32*12</f>
        <v>94.44</v>
      </c>
      <c r="K36" s="65">
        <f>'IVC Nuova'!D32*12</f>
        <v>95.76</v>
      </c>
      <c r="P36" s="42" t="s">
        <v>49</v>
      </c>
      <c r="Q36" s="41" t="s">
        <v>25</v>
      </c>
      <c r="R36" s="40">
        <v>1209.06</v>
      </c>
      <c r="S36" s="64">
        <f t="shared" si="1"/>
        <v>1246.1599999999999</v>
      </c>
    </row>
    <row r="37" spans="1:19" ht="14.1" customHeight="1" x14ac:dyDescent="0.2">
      <c r="A37" s="41" t="s">
        <v>26</v>
      </c>
      <c r="B37" s="40">
        <v>17167.7</v>
      </c>
      <c r="C37" s="40">
        <v>17332.099999999999</v>
      </c>
      <c r="D37" s="40">
        <v>17777.3</v>
      </c>
      <c r="E37" s="40">
        <v>336</v>
      </c>
      <c r="F37" s="40">
        <v>297.48</v>
      </c>
      <c r="G37" s="40">
        <f t="shared" si="0"/>
        <v>18074.78</v>
      </c>
      <c r="H37" s="59"/>
      <c r="I37" s="65">
        <f>'IVC Nuova'!B33*12</f>
        <v>53.28</v>
      </c>
      <c r="J37" s="65">
        <f>'IVC Nuova'!C33*12</f>
        <v>88.92</v>
      </c>
      <c r="K37" s="65">
        <f>'IVC Nuova'!D33*12</f>
        <v>90.36</v>
      </c>
      <c r="P37" s="42" t="s">
        <v>49</v>
      </c>
      <c r="Q37" s="41" t="s">
        <v>26</v>
      </c>
      <c r="R37" s="40">
        <v>1209.06</v>
      </c>
      <c r="S37" s="64">
        <f t="shared" si="1"/>
        <v>1246.1599999999999</v>
      </c>
    </row>
    <row r="38" spans="1:19" ht="14.1" customHeight="1" x14ac:dyDescent="0.2">
      <c r="A38" s="42" t="s">
        <v>30</v>
      </c>
      <c r="B38" s="40">
        <v>15221.94</v>
      </c>
      <c r="C38" s="40">
        <v>15321.54</v>
      </c>
      <c r="D38" s="40">
        <v>15628.74</v>
      </c>
      <c r="E38" s="40"/>
      <c r="F38" s="40">
        <v>26.56</v>
      </c>
      <c r="G38" s="40">
        <f t="shared" si="0"/>
        <v>15655.3</v>
      </c>
      <c r="H38" s="59"/>
      <c r="R38" s="37"/>
    </row>
    <row r="40" spans="1:19" x14ac:dyDescent="0.2">
      <c r="F40" t="s">
        <v>81</v>
      </c>
      <c r="R40" s="37"/>
    </row>
    <row r="41" spans="1:19" x14ac:dyDescent="0.2">
      <c r="F41" t="s">
        <v>82</v>
      </c>
      <c r="R41" s="37"/>
    </row>
  </sheetData>
  <mergeCells count="2">
    <mergeCell ref="I5:K5"/>
    <mergeCell ref="I4:K4"/>
  </mergeCells>
  <printOptions horizontalCentered="1"/>
  <pageMargins left="0" right="0" top="0.74803149606299213" bottom="0.74803149606299213" header="0.31496062992125984" footer="0.31496062992125984"/>
  <pageSetup paperSize="8"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B6914-61C5-469B-9E20-70866E2948E9}">
  <dimension ref="A1:U41"/>
  <sheetViews>
    <sheetView topLeftCell="A4" zoomScaleNormal="100" workbookViewId="0">
      <selection activeCell="G23" sqref="G23"/>
    </sheetView>
  </sheetViews>
  <sheetFormatPr defaultRowHeight="12.75" x14ac:dyDescent="0.2"/>
  <cols>
    <col min="1" max="1" width="15.42578125" style="37" customWidth="1"/>
    <col min="2" max="2" width="16" style="37" customWidth="1"/>
    <col min="3" max="3" width="14.85546875" style="37" customWidth="1"/>
    <col min="4" max="5" width="16.140625" style="37" customWidth="1"/>
    <col min="6" max="6" width="16.85546875" style="37" customWidth="1"/>
    <col min="7" max="7" width="17.140625" style="37" customWidth="1"/>
    <col min="8" max="8" width="6.140625" style="37" customWidth="1"/>
    <col min="9" max="12" width="13.7109375" style="60" customWidth="1"/>
    <col min="13" max="13" width="5.7109375" style="37" customWidth="1"/>
    <col min="14" max="14" width="35" style="37" bestFit="1" customWidth="1"/>
    <col min="15" max="17" width="9.140625" style="37"/>
    <col min="18" max="18" width="9.7109375" style="37" customWidth="1"/>
    <col min="20" max="16384" width="9.140625" style="37"/>
  </cols>
  <sheetData>
    <row r="1" spans="1:21" ht="13.5" thickBot="1" x14ac:dyDescent="0.25">
      <c r="S1" s="37"/>
    </row>
    <row r="2" spans="1:21" ht="18.75" x14ac:dyDescent="0.2">
      <c r="A2" s="51" t="s">
        <v>47</v>
      </c>
      <c r="B2" s="52"/>
      <c r="C2" s="52"/>
      <c r="D2" s="53"/>
      <c r="E2" s="52"/>
      <c r="F2" s="51" t="s">
        <v>80</v>
      </c>
      <c r="G2" s="44"/>
      <c r="N2" s="51" t="s">
        <v>83</v>
      </c>
      <c r="S2" s="37"/>
    </row>
    <row r="3" spans="1:21" x14ac:dyDescent="0.2">
      <c r="A3" s="46" t="s">
        <v>74</v>
      </c>
      <c r="B3" s="38"/>
      <c r="C3" s="38"/>
      <c r="D3" s="45"/>
      <c r="E3" s="38"/>
      <c r="F3" s="54"/>
      <c r="G3" s="55"/>
      <c r="N3" s="46" t="s">
        <v>86</v>
      </c>
      <c r="S3" s="37"/>
    </row>
    <row r="4" spans="1:21" x14ac:dyDescent="0.2">
      <c r="A4" s="47" t="s">
        <v>29</v>
      </c>
      <c r="B4" s="38"/>
      <c r="C4" s="38"/>
      <c r="D4" s="45"/>
      <c r="E4" s="38"/>
      <c r="F4" s="54"/>
      <c r="G4" s="55"/>
      <c r="I4" s="341" t="s">
        <v>102</v>
      </c>
      <c r="J4" s="342"/>
      <c r="K4" s="342"/>
      <c r="L4" s="343"/>
      <c r="S4" s="37"/>
    </row>
    <row r="5" spans="1:21" ht="13.5" thickBot="1" x14ac:dyDescent="0.25">
      <c r="A5" s="48"/>
      <c r="B5" s="49"/>
      <c r="C5" s="49"/>
      <c r="D5" s="50"/>
      <c r="E5" s="49"/>
      <c r="F5" s="56"/>
      <c r="G5" s="57"/>
      <c r="I5" s="344" t="s">
        <v>87</v>
      </c>
      <c r="J5" s="345"/>
      <c r="K5" s="345"/>
      <c r="L5" s="345"/>
      <c r="S5" s="37"/>
    </row>
    <row r="6" spans="1:21" ht="63.75" x14ac:dyDescent="0.2">
      <c r="A6" s="43" t="s">
        <v>28</v>
      </c>
      <c r="B6" s="43" t="s">
        <v>75</v>
      </c>
      <c r="C6" s="43" t="s">
        <v>76</v>
      </c>
      <c r="D6" s="43" t="s">
        <v>77</v>
      </c>
      <c r="E6" s="43" t="s">
        <v>93</v>
      </c>
      <c r="F6" s="43" t="s">
        <v>78</v>
      </c>
      <c r="G6" s="43" t="s">
        <v>99</v>
      </c>
      <c r="H6" s="58"/>
      <c r="I6" s="61" t="s">
        <v>97</v>
      </c>
      <c r="J6" s="61" t="s">
        <v>100</v>
      </c>
      <c r="K6" s="61" t="s">
        <v>101</v>
      </c>
      <c r="L6" s="61" t="s">
        <v>156</v>
      </c>
      <c r="N6" s="1" t="s">
        <v>84</v>
      </c>
      <c r="O6" s="1" t="s">
        <v>77</v>
      </c>
      <c r="Q6" s="1" t="s">
        <v>90</v>
      </c>
      <c r="R6" s="1" t="s">
        <v>28</v>
      </c>
      <c r="S6" s="1" t="s">
        <v>91</v>
      </c>
      <c r="T6" s="1" t="s">
        <v>157</v>
      </c>
      <c r="U6" s="1" t="s">
        <v>158</v>
      </c>
    </row>
    <row r="7" spans="1:21" ht="14.1" customHeight="1" x14ac:dyDescent="0.2">
      <c r="A7" s="39" t="s">
        <v>50</v>
      </c>
      <c r="B7" s="40">
        <v>37043.120000000003</v>
      </c>
      <c r="C7" s="40">
        <v>37277.120000000003</v>
      </c>
      <c r="D7" s="40">
        <v>37908.32</v>
      </c>
      <c r="E7" s="40">
        <v>0</v>
      </c>
      <c r="F7" s="40"/>
      <c r="G7" s="40">
        <f>D7+F7</f>
        <v>37908.32</v>
      </c>
      <c r="H7" s="59"/>
      <c r="I7" s="65">
        <f>'IVC Nuova'!B3*12</f>
        <v>113.76</v>
      </c>
      <c r="J7" s="65">
        <f>'IVC Nuova'!C3*12</f>
        <v>189.60000000000002</v>
      </c>
      <c r="K7" s="65">
        <f>'IVC Nuova'!D3*12</f>
        <v>189.60000000000002</v>
      </c>
      <c r="L7" s="65">
        <f>'IVC Nuova'!E3*12</f>
        <v>1459.92</v>
      </c>
      <c r="N7" s="42" t="s">
        <v>79</v>
      </c>
      <c r="O7" s="40">
        <v>92.6</v>
      </c>
      <c r="Q7" s="62" t="s">
        <v>79</v>
      </c>
      <c r="R7" s="63" t="s">
        <v>50</v>
      </c>
      <c r="S7" s="64">
        <v>3729.17</v>
      </c>
      <c r="T7" s="64">
        <f>S7+VLOOKUP(Q7,$N$7:$O$10,2,FALSE)</f>
        <v>3821.77</v>
      </c>
      <c r="U7" s="64">
        <f>T7+450</f>
        <v>4271.7700000000004</v>
      </c>
    </row>
    <row r="8" spans="1:21" ht="14.1" customHeight="1" x14ac:dyDescent="0.2">
      <c r="A8" s="39" t="s">
        <v>51</v>
      </c>
      <c r="B8" s="40">
        <v>35943.120000000003</v>
      </c>
      <c r="C8" s="40">
        <v>36177.120000000003</v>
      </c>
      <c r="D8" s="40">
        <v>36808.32</v>
      </c>
      <c r="E8" s="40">
        <v>0</v>
      </c>
      <c r="F8" s="40"/>
      <c r="G8" s="40">
        <f t="shared" ref="G8:G38" si="0">D8+F8</f>
        <v>36808.32</v>
      </c>
      <c r="H8" s="59"/>
      <c r="I8" s="65">
        <f>'IVC Nuova'!B4*12</f>
        <v>110.39999999999999</v>
      </c>
      <c r="J8" s="65">
        <f>'IVC Nuova'!C4*12</f>
        <v>184.07999999999998</v>
      </c>
      <c r="K8" s="65">
        <f>'IVC Nuova'!D4*12</f>
        <v>184.07999999999998</v>
      </c>
      <c r="L8" s="65">
        <f>'IVC Nuova'!E4*12</f>
        <v>1417.4160000000002</v>
      </c>
      <c r="N8" s="42" t="s">
        <v>48</v>
      </c>
      <c r="O8" s="40">
        <v>72.099999999999994</v>
      </c>
      <c r="Q8" s="42" t="s">
        <v>79</v>
      </c>
      <c r="R8" s="39" t="s">
        <v>51</v>
      </c>
      <c r="S8" s="40">
        <v>3729.17</v>
      </c>
      <c r="T8" s="64">
        <f t="shared" ref="T8:T37" si="1">S8+VLOOKUP(Q8,$N$7:$O$10,2,FALSE)</f>
        <v>3821.77</v>
      </c>
      <c r="U8" s="64">
        <f t="shared" ref="U8:U14" si="2">T8+450</f>
        <v>4271.7700000000004</v>
      </c>
    </row>
    <row r="9" spans="1:21" ht="14.1" customHeight="1" x14ac:dyDescent="0.2">
      <c r="A9" s="39" t="s">
        <v>52</v>
      </c>
      <c r="B9" s="40">
        <v>34533.75</v>
      </c>
      <c r="C9" s="40">
        <v>34767.75</v>
      </c>
      <c r="D9" s="40">
        <v>35398.949999999997</v>
      </c>
      <c r="E9" s="40">
        <v>0</v>
      </c>
      <c r="F9" s="40"/>
      <c r="G9" s="40">
        <f t="shared" si="0"/>
        <v>35398.949999999997</v>
      </c>
      <c r="H9" s="59"/>
      <c r="I9" s="65">
        <f>'IVC Nuova'!B5*12</f>
        <v>106.19999999999999</v>
      </c>
      <c r="J9" s="65">
        <f>'IVC Nuova'!C5*12</f>
        <v>177</v>
      </c>
      <c r="K9" s="65">
        <f>'IVC Nuova'!D5*12</f>
        <v>177</v>
      </c>
      <c r="L9" s="65">
        <f>'IVC Nuova'!E5*12</f>
        <v>1362.9</v>
      </c>
      <c r="N9" s="42" t="s">
        <v>85</v>
      </c>
      <c r="O9" s="40">
        <v>50.4</v>
      </c>
      <c r="Q9" s="42" t="s">
        <v>79</v>
      </c>
      <c r="R9" s="39" t="s">
        <v>52</v>
      </c>
      <c r="S9" s="40">
        <v>3729.17</v>
      </c>
      <c r="T9" s="64">
        <f t="shared" si="1"/>
        <v>3821.77</v>
      </c>
      <c r="U9" s="64">
        <f t="shared" si="2"/>
        <v>4271.7700000000004</v>
      </c>
    </row>
    <row r="10" spans="1:21" ht="14.1" customHeight="1" x14ac:dyDescent="0.2">
      <c r="A10" s="39" t="s">
        <v>53</v>
      </c>
      <c r="B10" s="40">
        <v>33183.85</v>
      </c>
      <c r="C10" s="40">
        <v>33417.85</v>
      </c>
      <c r="D10" s="40">
        <v>34049.050000000003</v>
      </c>
      <c r="E10" s="40">
        <v>0</v>
      </c>
      <c r="F10" s="40"/>
      <c r="G10" s="40">
        <f t="shared" si="0"/>
        <v>34049.050000000003</v>
      </c>
      <c r="H10" s="59"/>
      <c r="I10" s="65">
        <f>'IVC Nuova'!B6*12</f>
        <v>102.12</v>
      </c>
      <c r="J10" s="65">
        <f>'IVC Nuova'!C6*12</f>
        <v>170.28</v>
      </c>
      <c r="K10" s="65">
        <f>'IVC Nuova'!D6*12</f>
        <v>170.28</v>
      </c>
      <c r="L10" s="65">
        <f>'IVC Nuova'!E6*12</f>
        <v>1311.1559999999999</v>
      </c>
      <c r="N10" s="42" t="s">
        <v>49</v>
      </c>
      <c r="O10" s="40">
        <v>37.1</v>
      </c>
      <c r="Q10" s="42" t="s">
        <v>79</v>
      </c>
      <c r="R10" s="39" t="s">
        <v>53</v>
      </c>
      <c r="S10" s="40">
        <v>3729.17</v>
      </c>
      <c r="T10" s="64">
        <f t="shared" si="1"/>
        <v>3821.77</v>
      </c>
      <c r="U10" s="64">
        <f t="shared" si="2"/>
        <v>4271.7700000000004</v>
      </c>
    </row>
    <row r="11" spans="1:21" ht="14.1" customHeight="1" x14ac:dyDescent="0.2">
      <c r="A11" s="39" t="s">
        <v>54</v>
      </c>
      <c r="B11" s="40">
        <v>31727.47</v>
      </c>
      <c r="C11" s="40">
        <v>31961.47</v>
      </c>
      <c r="D11" s="40">
        <v>32592.67</v>
      </c>
      <c r="E11" s="40">
        <v>0</v>
      </c>
      <c r="F11" s="40"/>
      <c r="G11" s="40">
        <f t="shared" si="0"/>
        <v>32592.67</v>
      </c>
      <c r="H11" s="59"/>
      <c r="I11" s="65">
        <f>'IVC Nuova'!B7*12</f>
        <v>97.800000000000011</v>
      </c>
      <c r="J11" s="65">
        <f>'IVC Nuova'!C7*12</f>
        <v>162.96</v>
      </c>
      <c r="K11" s="65">
        <f>'IVC Nuova'!D7*12</f>
        <v>162.96</v>
      </c>
      <c r="L11" s="65">
        <f>'IVC Nuova'!E7*12</f>
        <v>1254.7919999999999</v>
      </c>
      <c r="Q11" s="42" t="s">
        <v>79</v>
      </c>
      <c r="R11" s="39" t="s">
        <v>54</v>
      </c>
      <c r="S11" s="40">
        <v>3729.17</v>
      </c>
      <c r="T11" s="64">
        <f t="shared" si="1"/>
        <v>3821.77</v>
      </c>
      <c r="U11" s="64">
        <f t="shared" si="2"/>
        <v>4271.7700000000004</v>
      </c>
    </row>
    <row r="12" spans="1:21" ht="14.1" customHeight="1" x14ac:dyDescent="0.2">
      <c r="A12" s="39" t="s">
        <v>55</v>
      </c>
      <c r="B12" s="40">
        <v>29343.58</v>
      </c>
      <c r="C12" s="40">
        <v>29577.58</v>
      </c>
      <c r="D12" s="40">
        <v>30208.78</v>
      </c>
      <c r="E12" s="40">
        <v>0</v>
      </c>
      <c r="F12" s="40"/>
      <c r="G12" s="40">
        <f t="shared" si="0"/>
        <v>30208.78</v>
      </c>
      <c r="H12" s="59"/>
      <c r="I12" s="65">
        <f>'IVC Nuova'!B8*12</f>
        <v>90.6</v>
      </c>
      <c r="J12" s="65">
        <f>'IVC Nuova'!C8*12</f>
        <v>151.07999999999998</v>
      </c>
      <c r="K12" s="65">
        <f>'IVC Nuova'!D8*12</f>
        <v>151.07999999999998</v>
      </c>
      <c r="L12" s="65">
        <f>'IVC Nuova'!E8*12</f>
        <v>1163.316</v>
      </c>
      <c r="Q12" s="42" t="s">
        <v>79</v>
      </c>
      <c r="R12" s="39" t="s">
        <v>55</v>
      </c>
      <c r="S12" s="40">
        <v>2816.8</v>
      </c>
      <c r="T12" s="64">
        <f t="shared" si="1"/>
        <v>2909.4</v>
      </c>
      <c r="U12" s="64">
        <f>T12+450</f>
        <v>3359.4</v>
      </c>
    </row>
    <row r="13" spans="1:21" ht="14.1" customHeight="1" x14ac:dyDescent="0.2">
      <c r="A13" s="39" t="s">
        <v>56</v>
      </c>
      <c r="B13" s="40">
        <v>27728.240000000002</v>
      </c>
      <c r="C13" s="40">
        <v>27962.240000000002</v>
      </c>
      <c r="D13" s="40">
        <v>28593.439999999999</v>
      </c>
      <c r="E13" s="40">
        <v>0</v>
      </c>
      <c r="F13" s="40"/>
      <c r="G13" s="40">
        <f t="shared" si="0"/>
        <v>28593.439999999999</v>
      </c>
      <c r="H13" s="59"/>
      <c r="I13" s="65">
        <f>'IVC Nuova'!B9*12</f>
        <v>85.800000000000011</v>
      </c>
      <c r="J13" s="65">
        <f>'IVC Nuova'!C9*12</f>
        <v>142.92000000000002</v>
      </c>
      <c r="K13" s="65">
        <f>'IVC Nuova'!D9*12</f>
        <v>142.92000000000002</v>
      </c>
      <c r="L13" s="65">
        <f>'IVC Nuova'!E9*12</f>
        <v>1100.4839999999999</v>
      </c>
      <c r="Q13" s="42" t="s">
        <v>79</v>
      </c>
      <c r="R13" s="39" t="s">
        <v>56</v>
      </c>
      <c r="S13" s="40">
        <v>2816.8</v>
      </c>
      <c r="T13" s="64">
        <f t="shared" si="1"/>
        <v>2909.4</v>
      </c>
      <c r="U13" s="64">
        <f t="shared" si="2"/>
        <v>3359.4</v>
      </c>
    </row>
    <row r="14" spans="1:21" ht="14.1" customHeight="1" x14ac:dyDescent="0.2">
      <c r="A14" s="39" t="s">
        <v>57</v>
      </c>
      <c r="B14" s="40">
        <v>26024.85</v>
      </c>
      <c r="C14" s="40">
        <v>26258.85</v>
      </c>
      <c r="D14" s="40">
        <v>26890.05</v>
      </c>
      <c r="E14" s="40">
        <v>0</v>
      </c>
      <c r="F14" s="40"/>
      <c r="G14" s="40">
        <f t="shared" si="0"/>
        <v>26890.05</v>
      </c>
      <c r="H14" s="59"/>
      <c r="I14" s="65">
        <f>'IVC Nuova'!B10*12</f>
        <v>80.64</v>
      </c>
      <c r="J14" s="65">
        <f>'IVC Nuova'!C10*12</f>
        <v>134.39999999999998</v>
      </c>
      <c r="K14" s="65">
        <f>'IVC Nuova'!D10*12</f>
        <v>134.39999999999998</v>
      </c>
      <c r="L14" s="65">
        <f>'IVC Nuova'!E10*12</f>
        <v>1034.8799999999999</v>
      </c>
      <c r="N14" s="59"/>
      <c r="Q14" s="42" t="s">
        <v>79</v>
      </c>
      <c r="R14" s="39" t="s">
        <v>57</v>
      </c>
      <c r="S14" s="40">
        <v>2816.8</v>
      </c>
      <c r="T14" s="64">
        <f t="shared" si="1"/>
        <v>2909.4</v>
      </c>
      <c r="U14" s="64">
        <f t="shared" si="2"/>
        <v>3359.4</v>
      </c>
    </row>
    <row r="15" spans="1:21" ht="14.1" customHeight="1" x14ac:dyDescent="0.2">
      <c r="A15" s="39" t="s">
        <v>58</v>
      </c>
      <c r="B15" s="40">
        <v>30310.86</v>
      </c>
      <c r="C15" s="40">
        <v>30513.66</v>
      </c>
      <c r="D15" s="40">
        <v>31062.06</v>
      </c>
      <c r="E15" s="40">
        <v>0</v>
      </c>
      <c r="F15" s="40"/>
      <c r="G15" s="40">
        <f t="shared" si="0"/>
        <v>31062.06</v>
      </c>
      <c r="H15" s="59"/>
      <c r="I15" s="65">
        <f>'IVC Nuova'!B11*12</f>
        <v>93.24</v>
      </c>
      <c r="J15" s="65">
        <f>'IVC Nuova'!C11*12</f>
        <v>155.28</v>
      </c>
      <c r="K15" s="65">
        <f>'IVC Nuova'!D11*12</f>
        <v>155.28</v>
      </c>
      <c r="L15" s="65">
        <f>'IVC Nuova'!E11*12</f>
        <v>1195.6559999999999</v>
      </c>
      <c r="Q15" s="42" t="s">
        <v>48</v>
      </c>
      <c r="R15" s="39" t="s">
        <v>58</v>
      </c>
      <c r="S15" s="40">
        <v>2350.06</v>
      </c>
      <c r="T15" s="64">
        <f t="shared" si="1"/>
        <v>2422.16</v>
      </c>
      <c r="U15" s="64">
        <f>T15+420</f>
        <v>2842.16</v>
      </c>
    </row>
    <row r="16" spans="1:21" ht="14.1" customHeight="1" x14ac:dyDescent="0.2">
      <c r="A16" s="39" t="s">
        <v>59</v>
      </c>
      <c r="B16" s="40">
        <v>29410.86</v>
      </c>
      <c r="C16" s="40">
        <v>29613.66</v>
      </c>
      <c r="D16" s="40">
        <v>30162.06</v>
      </c>
      <c r="E16" s="40">
        <v>0</v>
      </c>
      <c r="F16" s="40"/>
      <c r="G16" s="40">
        <f t="shared" si="0"/>
        <v>30162.06</v>
      </c>
      <c r="H16" s="59"/>
      <c r="I16" s="65">
        <f>'IVC Nuova'!B12*12</f>
        <v>90.48</v>
      </c>
      <c r="J16" s="65">
        <f>'IVC Nuova'!C12*12</f>
        <v>150.84</v>
      </c>
      <c r="K16" s="65">
        <f>'IVC Nuova'!D12*12</f>
        <v>150.84</v>
      </c>
      <c r="L16" s="65">
        <f>'IVC Nuova'!E12*12</f>
        <v>1161.4680000000003</v>
      </c>
      <c r="Q16" s="42" t="s">
        <v>48</v>
      </c>
      <c r="R16" s="39" t="s">
        <v>59</v>
      </c>
      <c r="S16" s="40">
        <v>2350.06</v>
      </c>
      <c r="T16" s="64">
        <f t="shared" si="1"/>
        <v>2422.16</v>
      </c>
      <c r="U16" s="64">
        <f t="shared" ref="U16:U22" si="3">T16+420</f>
        <v>2842.16</v>
      </c>
    </row>
    <row r="17" spans="1:21" ht="14.1" customHeight="1" x14ac:dyDescent="0.2">
      <c r="A17" s="39" t="s">
        <v>60</v>
      </c>
      <c r="B17" s="40">
        <v>28354.48</v>
      </c>
      <c r="C17" s="40">
        <v>28557.279999999999</v>
      </c>
      <c r="D17" s="40">
        <v>29105.68</v>
      </c>
      <c r="E17" s="40">
        <v>0</v>
      </c>
      <c r="F17" s="40"/>
      <c r="G17" s="40">
        <f t="shared" si="0"/>
        <v>29105.68</v>
      </c>
      <c r="H17" s="59"/>
      <c r="I17" s="65">
        <f>'IVC Nuova'!B13*12</f>
        <v>87.36</v>
      </c>
      <c r="J17" s="65">
        <f>'IVC Nuova'!C13*12</f>
        <v>145.56</v>
      </c>
      <c r="K17" s="65">
        <f>'IVC Nuova'!D13*12</f>
        <v>145.56</v>
      </c>
      <c r="L17" s="65">
        <f>'IVC Nuova'!E13*12</f>
        <v>1120.8119999999999</v>
      </c>
      <c r="Q17" s="42" t="s">
        <v>48</v>
      </c>
      <c r="R17" s="39" t="s">
        <v>60</v>
      </c>
      <c r="S17" s="40">
        <v>2350.06</v>
      </c>
      <c r="T17" s="64">
        <f t="shared" si="1"/>
        <v>2422.16</v>
      </c>
      <c r="U17" s="64">
        <f t="shared" si="3"/>
        <v>2842.16</v>
      </c>
    </row>
    <row r="18" spans="1:21" ht="14.1" customHeight="1" x14ac:dyDescent="0.2">
      <c r="A18" s="39" t="s">
        <v>61</v>
      </c>
      <c r="B18" s="40">
        <v>27340.5</v>
      </c>
      <c r="C18" s="40">
        <v>27543.3</v>
      </c>
      <c r="D18" s="40">
        <v>28091.7</v>
      </c>
      <c r="E18" s="40">
        <v>0</v>
      </c>
      <c r="F18" s="40"/>
      <c r="G18" s="40">
        <f t="shared" si="0"/>
        <v>28091.7</v>
      </c>
      <c r="H18" s="59"/>
      <c r="I18" s="65">
        <f>'IVC Nuova'!B14*12</f>
        <v>84.24</v>
      </c>
      <c r="J18" s="65">
        <f>'IVC Nuova'!C14*12</f>
        <v>140.39999999999998</v>
      </c>
      <c r="K18" s="65">
        <f>'IVC Nuova'!D14*12</f>
        <v>140.39999999999998</v>
      </c>
      <c r="L18" s="65">
        <f>'IVC Nuova'!E14*12</f>
        <v>1081.08</v>
      </c>
      <c r="Q18" s="42" t="s">
        <v>48</v>
      </c>
      <c r="R18" s="39" t="s">
        <v>61</v>
      </c>
      <c r="S18" s="40">
        <v>2350.06</v>
      </c>
      <c r="T18" s="64">
        <f t="shared" si="1"/>
        <v>2422.16</v>
      </c>
      <c r="U18" s="64">
        <f t="shared" si="3"/>
        <v>2842.16</v>
      </c>
    </row>
    <row r="19" spans="1:21" ht="14.1" customHeight="1" x14ac:dyDescent="0.2">
      <c r="A19" s="39" t="s">
        <v>62</v>
      </c>
      <c r="B19" s="40">
        <v>26372.28</v>
      </c>
      <c r="C19" s="40">
        <v>26575.08</v>
      </c>
      <c r="D19" s="40">
        <v>27123.48</v>
      </c>
      <c r="E19" s="40">
        <v>0</v>
      </c>
      <c r="F19" s="40"/>
      <c r="G19" s="40">
        <f t="shared" si="0"/>
        <v>27123.48</v>
      </c>
      <c r="H19" s="59"/>
      <c r="I19" s="65">
        <f>'IVC Nuova'!B15*12</f>
        <v>81.36</v>
      </c>
      <c r="J19" s="65">
        <f>'IVC Nuova'!C15*12</f>
        <v>135.60000000000002</v>
      </c>
      <c r="K19" s="65">
        <f>'IVC Nuova'!D15*12</f>
        <v>135.60000000000002</v>
      </c>
      <c r="L19" s="65">
        <f>'IVC Nuova'!E15*12</f>
        <v>1044.1200000000001</v>
      </c>
      <c r="Q19" s="42" t="s">
        <v>48</v>
      </c>
      <c r="R19" s="39" t="s">
        <v>62</v>
      </c>
      <c r="S19" s="40">
        <v>2350.06</v>
      </c>
      <c r="T19" s="64">
        <f t="shared" si="1"/>
        <v>2422.16</v>
      </c>
      <c r="U19" s="64">
        <f t="shared" si="3"/>
        <v>2842.16</v>
      </c>
    </row>
    <row r="20" spans="1:21" ht="14.1" customHeight="1" x14ac:dyDescent="0.2">
      <c r="A20" s="39" t="s">
        <v>63</v>
      </c>
      <c r="B20" s="40">
        <v>25060.73</v>
      </c>
      <c r="C20" s="40">
        <v>25263.53</v>
      </c>
      <c r="D20" s="40">
        <v>25811.93</v>
      </c>
      <c r="E20" s="40">
        <v>0</v>
      </c>
      <c r="F20" s="40"/>
      <c r="G20" s="40">
        <f t="shared" si="0"/>
        <v>25811.93</v>
      </c>
      <c r="H20" s="59"/>
      <c r="I20" s="65">
        <f>'IVC Nuova'!B16*12</f>
        <v>77.400000000000006</v>
      </c>
      <c r="J20" s="65">
        <f>'IVC Nuova'!C16*12</f>
        <v>129</v>
      </c>
      <c r="K20" s="65">
        <f>'IVC Nuova'!D16*12</f>
        <v>129</v>
      </c>
      <c r="L20" s="65">
        <f>'IVC Nuova'!E16*12</f>
        <v>993.30000000000007</v>
      </c>
      <c r="Q20" s="42" t="s">
        <v>48</v>
      </c>
      <c r="R20" s="39" t="s">
        <v>63</v>
      </c>
      <c r="S20" s="40">
        <v>2350.06</v>
      </c>
      <c r="T20" s="64">
        <f t="shared" si="1"/>
        <v>2422.16</v>
      </c>
      <c r="U20" s="64">
        <f t="shared" si="3"/>
        <v>2842.16</v>
      </c>
    </row>
    <row r="21" spans="1:21" ht="14.1" customHeight="1" x14ac:dyDescent="0.2">
      <c r="A21" s="39" t="s">
        <v>64</v>
      </c>
      <c r="B21" s="40">
        <v>23985.759999999998</v>
      </c>
      <c r="C21" s="40">
        <v>24188.560000000001</v>
      </c>
      <c r="D21" s="40">
        <v>24736.959999999999</v>
      </c>
      <c r="E21" s="40">
        <v>84</v>
      </c>
      <c r="F21" s="40">
        <v>74.400000000000006</v>
      </c>
      <c r="G21" s="40">
        <f t="shared" si="0"/>
        <v>24811.360000000001</v>
      </c>
      <c r="H21" s="59"/>
      <c r="I21" s="65">
        <f>'IVC Nuova'!B17*12</f>
        <v>74.16</v>
      </c>
      <c r="J21" s="65">
        <f>'IVC Nuova'!C17*12</f>
        <v>123.72</v>
      </c>
      <c r="K21" s="65">
        <f>'IVC Nuova'!D17*12</f>
        <v>124.08</v>
      </c>
      <c r="L21" s="65">
        <f>'IVC Nuova'!E17*12</f>
        <v>955.41600000000017</v>
      </c>
      <c r="N21" s="59"/>
      <c r="Q21" s="42" t="s">
        <v>48</v>
      </c>
      <c r="R21" s="39" t="s">
        <v>64</v>
      </c>
      <c r="S21" s="40">
        <v>2350.06</v>
      </c>
      <c r="T21" s="64">
        <f t="shared" si="1"/>
        <v>2422.16</v>
      </c>
      <c r="U21" s="64">
        <f t="shared" si="3"/>
        <v>2842.16</v>
      </c>
    </row>
    <row r="22" spans="1:21" ht="14.1" customHeight="1" x14ac:dyDescent="0.2">
      <c r="A22" s="39" t="s">
        <v>65</v>
      </c>
      <c r="B22" s="40">
        <v>23055.63</v>
      </c>
      <c r="C22" s="40">
        <v>23258.43</v>
      </c>
      <c r="D22" s="40">
        <v>23806.83</v>
      </c>
      <c r="E22" s="40">
        <v>108</v>
      </c>
      <c r="F22" s="40">
        <v>95.64</v>
      </c>
      <c r="G22" s="40">
        <f t="shared" si="0"/>
        <v>23902.47</v>
      </c>
      <c r="H22" s="59"/>
      <c r="I22" s="65">
        <f>'IVC Nuova'!B18*12</f>
        <v>71.400000000000006</v>
      </c>
      <c r="J22" s="65">
        <f>'IVC Nuova'!C18*12</f>
        <v>119.03999999999999</v>
      </c>
      <c r="K22" s="65">
        <f>'IVC Nuova'!D18*12</f>
        <v>119.52000000000001</v>
      </c>
      <c r="L22" s="65">
        <f>'IVC Nuova'!E18*12</f>
        <v>920.30400000000009</v>
      </c>
      <c r="Q22" s="42" t="s">
        <v>48</v>
      </c>
      <c r="R22" s="39" t="s">
        <v>65</v>
      </c>
      <c r="S22" s="40">
        <v>2350.06</v>
      </c>
      <c r="T22" s="64">
        <f t="shared" si="1"/>
        <v>2422.16</v>
      </c>
      <c r="U22" s="64">
        <f t="shared" si="3"/>
        <v>2842.16</v>
      </c>
    </row>
    <row r="23" spans="1:21" ht="14.1" customHeight="1" x14ac:dyDescent="0.2">
      <c r="A23" s="39" t="s">
        <v>66</v>
      </c>
      <c r="B23" s="40">
        <v>25126.46</v>
      </c>
      <c r="C23" s="40">
        <v>25301.66</v>
      </c>
      <c r="D23" s="40">
        <v>25774.46</v>
      </c>
      <c r="E23" s="40">
        <v>0</v>
      </c>
      <c r="F23" s="40"/>
      <c r="G23" s="40">
        <f t="shared" si="0"/>
        <v>25774.46</v>
      </c>
      <c r="H23" s="59"/>
      <c r="I23" s="65">
        <f>'IVC Nuova'!B19*12</f>
        <v>77.28</v>
      </c>
      <c r="J23" s="65">
        <f>'IVC Nuova'!C19*12</f>
        <v>128.88</v>
      </c>
      <c r="K23" s="65">
        <f>'IVC Nuova'!D19*12</f>
        <v>128.88</v>
      </c>
      <c r="L23" s="65">
        <f>'IVC Nuova'!E19*12</f>
        <v>992.37599999999998</v>
      </c>
      <c r="Q23" s="42" t="s">
        <v>85</v>
      </c>
      <c r="R23" s="39" t="s">
        <v>66</v>
      </c>
      <c r="S23" s="40">
        <v>1643.57</v>
      </c>
      <c r="T23" s="64">
        <f t="shared" si="1"/>
        <v>1693.97</v>
      </c>
      <c r="U23" s="64">
        <f>T23+360</f>
        <v>2053.9700000000003</v>
      </c>
    </row>
    <row r="24" spans="1:21" ht="14.1" customHeight="1" x14ac:dyDescent="0.2">
      <c r="A24" s="39" t="s">
        <v>67</v>
      </c>
      <c r="B24" s="40">
        <v>24326.46</v>
      </c>
      <c r="C24" s="40">
        <v>24501.66</v>
      </c>
      <c r="D24" s="40">
        <v>24974.46</v>
      </c>
      <c r="E24" s="40">
        <v>60</v>
      </c>
      <c r="F24" s="40">
        <v>53.16</v>
      </c>
      <c r="G24" s="40">
        <f t="shared" si="0"/>
        <v>25027.62</v>
      </c>
      <c r="H24" s="59"/>
      <c r="I24" s="65">
        <f>'IVC Nuova'!B20*12</f>
        <v>74.88</v>
      </c>
      <c r="J24" s="65">
        <f>'IVC Nuova'!C20*12</f>
        <v>124.92</v>
      </c>
      <c r="K24" s="65">
        <f>'IVC Nuova'!D20*12</f>
        <v>125.16</v>
      </c>
      <c r="L24" s="65">
        <f>'IVC Nuova'!E20*12</f>
        <v>963.73200000000008</v>
      </c>
      <c r="Q24" s="42" t="s">
        <v>85</v>
      </c>
      <c r="R24" s="39" t="s">
        <v>67</v>
      </c>
      <c r="S24" s="40">
        <v>1643.57</v>
      </c>
      <c r="T24" s="64">
        <f t="shared" si="1"/>
        <v>1693.97</v>
      </c>
      <c r="U24" s="64">
        <f t="shared" ref="U24:U30" si="4">T24+360</f>
        <v>2053.9700000000003</v>
      </c>
    </row>
    <row r="25" spans="1:21" ht="14.1" customHeight="1" x14ac:dyDescent="0.2">
      <c r="A25" s="39" t="s">
        <v>68</v>
      </c>
      <c r="B25" s="40">
        <v>23537.16</v>
      </c>
      <c r="C25" s="40">
        <v>23712.36</v>
      </c>
      <c r="D25" s="40">
        <v>24185.16</v>
      </c>
      <c r="E25" s="40">
        <v>96</v>
      </c>
      <c r="F25" s="40">
        <v>84.96</v>
      </c>
      <c r="G25" s="40">
        <f t="shared" si="0"/>
        <v>24270.12</v>
      </c>
      <c r="H25" s="59"/>
      <c r="I25" s="65">
        <f>'IVC Nuova'!B21*12</f>
        <v>72.599999999999994</v>
      </c>
      <c r="J25" s="65">
        <f>'IVC Nuova'!C21*12</f>
        <v>120.96000000000001</v>
      </c>
      <c r="K25" s="65">
        <f>'IVC Nuova'!D21*12</f>
        <v>121.32</v>
      </c>
      <c r="L25" s="65">
        <f>'IVC Nuova'!E21*12</f>
        <v>934.16399999999999</v>
      </c>
      <c r="Q25" s="42" t="s">
        <v>85</v>
      </c>
      <c r="R25" s="39" t="s">
        <v>68</v>
      </c>
      <c r="S25" s="40">
        <v>1643.57</v>
      </c>
      <c r="T25" s="64">
        <f t="shared" si="1"/>
        <v>1693.97</v>
      </c>
      <c r="U25" s="64">
        <f t="shared" si="4"/>
        <v>2053.9700000000003</v>
      </c>
    </row>
    <row r="26" spans="1:21" ht="14.1" customHeight="1" x14ac:dyDescent="0.2">
      <c r="A26" s="39" t="s">
        <v>69</v>
      </c>
      <c r="B26" s="40">
        <v>22776.12</v>
      </c>
      <c r="C26" s="40">
        <v>22951.32</v>
      </c>
      <c r="D26" s="40">
        <v>23424.12</v>
      </c>
      <c r="E26" s="40">
        <v>120</v>
      </c>
      <c r="F26" s="40">
        <v>106.2</v>
      </c>
      <c r="G26" s="40">
        <f t="shared" si="0"/>
        <v>23530.32</v>
      </c>
      <c r="H26" s="59"/>
      <c r="I26" s="65">
        <f>'IVC Nuova'!B22*12</f>
        <v>70.320000000000007</v>
      </c>
      <c r="J26" s="65">
        <f>'IVC Nuova'!C22*12</f>
        <v>117.12</v>
      </c>
      <c r="K26" s="65">
        <f>'IVC Nuova'!D22*12</f>
        <v>117.60000000000001</v>
      </c>
      <c r="L26" s="65">
        <f>'IVC Nuova'!E22*12</f>
        <v>905.5200000000001</v>
      </c>
      <c r="Q26" s="42" t="s">
        <v>85</v>
      </c>
      <c r="R26" s="39" t="s">
        <v>69</v>
      </c>
      <c r="S26" s="40">
        <v>1643.57</v>
      </c>
      <c r="T26" s="64">
        <f t="shared" si="1"/>
        <v>1693.97</v>
      </c>
      <c r="U26" s="64">
        <f t="shared" si="4"/>
        <v>2053.9700000000003</v>
      </c>
    </row>
    <row r="27" spans="1:21" ht="14.1" customHeight="1" x14ac:dyDescent="0.2">
      <c r="A27" s="39" t="s">
        <v>70</v>
      </c>
      <c r="B27" s="40">
        <v>22044.959999999999</v>
      </c>
      <c r="C27" s="40">
        <v>22220.16</v>
      </c>
      <c r="D27" s="40">
        <v>22692.959999999999</v>
      </c>
      <c r="E27" s="40">
        <v>156</v>
      </c>
      <c r="F27" s="40">
        <v>138.12</v>
      </c>
      <c r="G27" s="40">
        <f t="shared" si="0"/>
        <v>22831.079999999998</v>
      </c>
      <c r="H27" s="59"/>
      <c r="I27" s="65">
        <f>'IVC Nuova'!B23*12</f>
        <v>68.039999999999992</v>
      </c>
      <c r="J27" s="65">
        <f>'IVC Nuova'!C23*12</f>
        <v>113.52000000000001</v>
      </c>
      <c r="K27" s="65">
        <f>'IVC Nuova'!D23*12</f>
        <v>114.12</v>
      </c>
      <c r="L27" s="65">
        <f>'IVC Nuova'!E23*12</f>
        <v>878.72400000000005</v>
      </c>
      <c r="Q27" s="42" t="s">
        <v>85</v>
      </c>
      <c r="R27" s="39" t="s">
        <v>70</v>
      </c>
      <c r="S27" s="40">
        <v>1643.57</v>
      </c>
      <c r="T27" s="64">
        <f t="shared" si="1"/>
        <v>1693.97</v>
      </c>
      <c r="U27" s="64">
        <f t="shared" si="4"/>
        <v>2053.9700000000003</v>
      </c>
    </row>
    <row r="28" spans="1:21" ht="14.1" customHeight="1" x14ac:dyDescent="0.2">
      <c r="A28" s="39" t="s">
        <v>71</v>
      </c>
      <c r="B28" s="40">
        <v>20935.080000000002</v>
      </c>
      <c r="C28" s="40">
        <v>21110.28</v>
      </c>
      <c r="D28" s="40">
        <v>21583.08</v>
      </c>
      <c r="E28" s="40">
        <v>192</v>
      </c>
      <c r="F28" s="40">
        <v>169.92</v>
      </c>
      <c r="G28" s="40">
        <f t="shared" si="0"/>
        <v>21753</v>
      </c>
      <c r="H28" s="59"/>
      <c r="I28" s="65">
        <f>'IVC Nuova'!B24*12</f>
        <v>64.800000000000011</v>
      </c>
      <c r="J28" s="65">
        <f>'IVC Nuova'!C24*12</f>
        <v>107.88</v>
      </c>
      <c r="K28" s="65">
        <f>'IVC Nuova'!D24*12</f>
        <v>108.72</v>
      </c>
      <c r="L28" s="65">
        <f>'IVC Nuova'!E24*12</f>
        <v>837.14400000000001</v>
      </c>
      <c r="Q28" s="42" t="s">
        <v>85</v>
      </c>
      <c r="R28" s="39" t="s">
        <v>71</v>
      </c>
      <c r="S28" s="40">
        <v>1643.57</v>
      </c>
      <c r="T28" s="64">
        <f t="shared" si="1"/>
        <v>1693.97</v>
      </c>
      <c r="U28" s="64">
        <f t="shared" si="4"/>
        <v>2053.9700000000003</v>
      </c>
    </row>
    <row r="29" spans="1:21" ht="14.1" customHeight="1" x14ac:dyDescent="0.2">
      <c r="A29" s="39" t="s">
        <v>72</v>
      </c>
      <c r="B29" s="40">
        <v>20102.759999999998</v>
      </c>
      <c r="C29" s="40">
        <v>20277.96</v>
      </c>
      <c r="D29" s="40">
        <v>20750.759999999998</v>
      </c>
      <c r="E29" s="40">
        <v>228</v>
      </c>
      <c r="F29" s="40">
        <v>201.84</v>
      </c>
      <c r="G29" s="40">
        <f t="shared" si="0"/>
        <v>20952.599999999999</v>
      </c>
      <c r="H29" s="59"/>
      <c r="I29" s="65">
        <f>'IVC Nuova'!B25*12</f>
        <v>62.28</v>
      </c>
      <c r="J29" s="65">
        <f>'IVC Nuova'!C25*12</f>
        <v>103.80000000000001</v>
      </c>
      <c r="K29" s="65">
        <f>'IVC Nuova'!D25*12</f>
        <v>104.76</v>
      </c>
      <c r="L29" s="65">
        <f>'IVC Nuova'!E25*12</f>
        <v>806.65200000000004</v>
      </c>
      <c r="Q29" s="42" t="s">
        <v>85</v>
      </c>
      <c r="R29" s="39" t="s">
        <v>72</v>
      </c>
      <c r="S29" s="40">
        <v>1643.57</v>
      </c>
      <c r="T29" s="64">
        <f t="shared" si="1"/>
        <v>1693.97</v>
      </c>
      <c r="U29" s="64">
        <f t="shared" si="4"/>
        <v>2053.9700000000003</v>
      </c>
    </row>
    <row r="30" spans="1:21" ht="14.1" customHeight="1" x14ac:dyDescent="0.2">
      <c r="A30" s="39" t="s">
        <v>73</v>
      </c>
      <c r="B30" s="40">
        <v>19706.2</v>
      </c>
      <c r="C30" s="40">
        <v>19881.400000000001</v>
      </c>
      <c r="D30" s="40">
        <v>20354.2</v>
      </c>
      <c r="E30" s="40">
        <v>240</v>
      </c>
      <c r="F30" s="40">
        <v>212.4</v>
      </c>
      <c r="G30" s="40">
        <f t="shared" si="0"/>
        <v>20566.600000000002</v>
      </c>
      <c r="H30" s="59"/>
      <c r="I30" s="65">
        <f>'IVC Nuova'!B26*12</f>
        <v>61.08</v>
      </c>
      <c r="J30" s="65">
        <f>'IVC Nuova'!C26*12</f>
        <v>101.76</v>
      </c>
      <c r="K30" s="65">
        <f>'IVC Nuova'!D26*12</f>
        <v>102.84</v>
      </c>
      <c r="L30" s="65">
        <f>'IVC Nuova'!E26*12</f>
        <v>791.86800000000005</v>
      </c>
      <c r="Q30" s="42" t="s">
        <v>85</v>
      </c>
      <c r="R30" s="39" t="s">
        <v>73</v>
      </c>
      <c r="S30" s="40">
        <v>1643.57</v>
      </c>
      <c r="T30" s="64">
        <f t="shared" si="1"/>
        <v>1693.97</v>
      </c>
      <c r="U30" s="64">
        <f t="shared" si="4"/>
        <v>2053.9700000000003</v>
      </c>
    </row>
    <row r="31" spans="1:21" ht="14.1" customHeight="1" x14ac:dyDescent="0.2">
      <c r="A31" s="41" t="s">
        <v>31</v>
      </c>
      <c r="B31" s="40">
        <v>22321.119999999999</v>
      </c>
      <c r="C31" s="40">
        <v>22485.52</v>
      </c>
      <c r="D31" s="40">
        <v>22930.720000000001</v>
      </c>
      <c r="E31" s="40">
        <v>0</v>
      </c>
      <c r="F31" s="40"/>
      <c r="G31" s="40">
        <f t="shared" si="0"/>
        <v>22930.720000000001</v>
      </c>
      <c r="H31" s="59"/>
      <c r="I31" s="65">
        <f>'IVC Nuova'!B27*12</f>
        <v>68.760000000000005</v>
      </c>
      <c r="J31" s="65">
        <f>'IVC Nuova'!C27*12</f>
        <v>114.60000000000001</v>
      </c>
      <c r="K31" s="65">
        <f>'IVC Nuova'!D27*12</f>
        <v>114.60000000000001</v>
      </c>
      <c r="L31" s="65">
        <f>'IVC Nuova'!E27*12</f>
        <v>882.42000000000007</v>
      </c>
      <c r="Q31" s="42" t="s">
        <v>49</v>
      </c>
      <c r="R31" s="41" t="s">
        <v>31</v>
      </c>
      <c r="S31" s="40">
        <v>1209.06</v>
      </c>
      <c r="T31" s="64">
        <f t="shared" si="1"/>
        <v>1246.1599999999999</v>
      </c>
      <c r="U31" s="64">
        <f t="shared" ref="U31:U36" si="5">T31+300</f>
        <v>1546.1599999999999</v>
      </c>
    </row>
    <row r="32" spans="1:21" ht="14.1" customHeight="1" x14ac:dyDescent="0.2">
      <c r="A32" s="41" t="s">
        <v>21</v>
      </c>
      <c r="B32" s="40">
        <v>21621.119999999999</v>
      </c>
      <c r="C32" s="40">
        <v>21785.52</v>
      </c>
      <c r="D32" s="40">
        <v>22230.720000000001</v>
      </c>
      <c r="E32" s="40">
        <v>168</v>
      </c>
      <c r="F32" s="40">
        <v>148.68</v>
      </c>
      <c r="G32" s="40">
        <f t="shared" si="0"/>
        <v>22379.4</v>
      </c>
      <c r="H32" s="59"/>
      <c r="I32" s="65">
        <f>'IVC Nuova'!B28*12</f>
        <v>66.72</v>
      </c>
      <c r="J32" s="65">
        <f>'IVC Nuova'!C28*12</f>
        <v>111.12</v>
      </c>
      <c r="K32" s="65">
        <f>'IVC Nuova'!D28*12</f>
        <v>111.84</v>
      </c>
      <c r="L32" s="65">
        <f>'IVC Nuova'!E28*12</f>
        <v>861.16800000000012</v>
      </c>
      <c r="Q32" s="42" t="s">
        <v>49</v>
      </c>
      <c r="R32" s="41" t="s">
        <v>21</v>
      </c>
      <c r="S32" s="40">
        <v>1209.06</v>
      </c>
      <c r="T32" s="64">
        <f t="shared" si="1"/>
        <v>1246.1599999999999</v>
      </c>
      <c r="U32" s="64">
        <f t="shared" si="5"/>
        <v>1546.1599999999999</v>
      </c>
    </row>
    <row r="33" spans="1:21" ht="14.1" customHeight="1" x14ac:dyDescent="0.2">
      <c r="A33" s="41" t="s">
        <v>22</v>
      </c>
      <c r="B33" s="40">
        <v>20794.02</v>
      </c>
      <c r="C33" s="40">
        <v>20958.419999999998</v>
      </c>
      <c r="D33" s="40">
        <v>21403.62</v>
      </c>
      <c r="E33" s="40">
        <v>204</v>
      </c>
      <c r="F33" s="40">
        <v>180.6</v>
      </c>
      <c r="G33" s="40">
        <f t="shared" si="0"/>
        <v>21584.219999999998</v>
      </c>
      <c r="H33" s="59"/>
      <c r="I33" s="65">
        <f>'IVC Nuova'!B29*12</f>
        <v>64.199999999999989</v>
      </c>
      <c r="J33" s="65">
        <f>'IVC Nuova'!C29*12</f>
        <v>107.03999999999999</v>
      </c>
      <c r="K33" s="65">
        <f>'IVC Nuova'!D29*12</f>
        <v>107.88</v>
      </c>
      <c r="L33" s="65">
        <f>'IVC Nuova'!E29*12</f>
        <v>830.67599999999993</v>
      </c>
      <c r="Q33" s="42" t="s">
        <v>49</v>
      </c>
      <c r="R33" s="41" t="s">
        <v>22</v>
      </c>
      <c r="S33" s="40">
        <v>1209.06</v>
      </c>
      <c r="T33" s="64">
        <f t="shared" si="1"/>
        <v>1246.1599999999999</v>
      </c>
      <c r="U33" s="64">
        <f t="shared" si="5"/>
        <v>1546.1599999999999</v>
      </c>
    </row>
    <row r="34" spans="1:21" ht="14.1" customHeight="1" x14ac:dyDescent="0.2">
      <c r="A34" s="41" t="s">
        <v>23</v>
      </c>
      <c r="B34" s="40">
        <v>20001.64</v>
      </c>
      <c r="C34" s="40">
        <v>20166.04</v>
      </c>
      <c r="D34" s="40">
        <v>20611.240000000002</v>
      </c>
      <c r="E34" s="40">
        <v>228</v>
      </c>
      <c r="F34" s="40">
        <v>201.84</v>
      </c>
      <c r="G34" s="40">
        <f t="shared" si="0"/>
        <v>20813.080000000002</v>
      </c>
      <c r="H34" s="59"/>
      <c r="I34" s="65">
        <f>'IVC Nuova'!B30*12</f>
        <v>61.800000000000004</v>
      </c>
      <c r="J34" s="65">
        <f>'IVC Nuova'!C30*12</f>
        <v>103.08</v>
      </c>
      <c r="K34" s="65">
        <f>'IVC Nuova'!D30*12</f>
        <v>104.03999999999999</v>
      </c>
      <c r="L34" s="65">
        <f>'IVC Nuova'!E30*12</f>
        <v>801.10799999999995</v>
      </c>
      <c r="Q34" s="42" t="s">
        <v>49</v>
      </c>
      <c r="R34" s="41" t="s">
        <v>23</v>
      </c>
      <c r="S34" s="40">
        <v>1209.06</v>
      </c>
      <c r="T34" s="64">
        <f t="shared" si="1"/>
        <v>1246.1599999999999</v>
      </c>
      <c r="U34" s="64">
        <f t="shared" si="5"/>
        <v>1546.1599999999999</v>
      </c>
    </row>
    <row r="35" spans="1:21" ht="14.1" customHeight="1" x14ac:dyDescent="0.2">
      <c r="A35" s="41" t="s">
        <v>24</v>
      </c>
      <c r="B35" s="40">
        <v>19124.23</v>
      </c>
      <c r="C35" s="40">
        <v>19288.63</v>
      </c>
      <c r="D35" s="40">
        <v>19733.830000000002</v>
      </c>
      <c r="E35" s="40">
        <v>264</v>
      </c>
      <c r="F35" s="40">
        <v>233.64</v>
      </c>
      <c r="G35" s="40">
        <f t="shared" si="0"/>
        <v>19967.47</v>
      </c>
      <c r="H35" s="59"/>
      <c r="I35" s="65">
        <f>'IVC Nuova'!B31*12</f>
        <v>59.16</v>
      </c>
      <c r="J35" s="65">
        <f>'IVC Nuova'!C31*12</f>
        <v>98.640000000000015</v>
      </c>
      <c r="K35" s="65">
        <f>'IVC Nuova'!D31*12</f>
        <v>99.84</v>
      </c>
      <c r="L35" s="65">
        <f>'IVC Nuova'!E31*12</f>
        <v>768.76800000000003</v>
      </c>
      <c r="Q35" s="42" t="s">
        <v>49</v>
      </c>
      <c r="R35" s="41" t="s">
        <v>24</v>
      </c>
      <c r="S35" s="40">
        <v>1209.06</v>
      </c>
      <c r="T35" s="64">
        <f t="shared" si="1"/>
        <v>1246.1599999999999</v>
      </c>
      <c r="U35" s="64">
        <f t="shared" si="5"/>
        <v>1546.1599999999999</v>
      </c>
    </row>
    <row r="36" spans="1:21" ht="14.1" customHeight="1" x14ac:dyDescent="0.2">
      <c r="A36" s="41" t="s">
        <v>25</v>
      </c>
      <c r="B36" s="40">
        <v>18287.349999999999</v>
      </c>
      <c r="C36" s="40">
        <v>18451.75</v>
      </c>
      <c r="D36" s="40">
        <v>18896.95</v>
      </c>
      <c r="E36" s="40">
        <v>300</v>
      </c>
      <c r="F36" s="40">
        <v>265.56</v>
      </c>
      <c r="G36" s="40">
        <f t="shared" si="0"/>
        <v>19162.510000000002</v>
      </c>
      <c r="H36" s="59"/>
      <c r="I36" s="65">
        <f>'IVC Nuova'!B32*12</f>
        <v>56.64</v>
      </c>
      <c r="J36" s="65">
        <f>'IVC Nuova'!C32*12</f>
        <v>94.44</v>
      </c>
      <c r="K36" s="65">
        <f>'IVC Nuova'!D32*12</f>
        <v>95.76</v>
      </c>
      <c r="L36" s="65">
        <f>'IVC Nuova'!E32*12</f>
        <v>737.35199999999998</v>
      </c>
      <c r="Q36" s="42" t="s">
        <v>49</v>
      </c>
      <c r="R36" s="41" t="s">
        <v>25</v>
      </c>
      <c r="S36" s="40">
        <v>1209.06</v>
      </c>
      <c r="T36" s="64">
        <f t="shared" si="1"/>
        <v>1246.1599999999999</v>
      </c>
      <c r="U36" s="64">
        <f t="shared" si="5"/>
        <v>1546.1599999999999</v>
      </c>
    </row>
    <row r="37" spans="1:21" ht="14.1" customHeight="1" x14ac:dyDescent="0.2">
      <c r="A37" s="41" t="s">
        <v>26</v>
      </c>
      <c r="B37" s="40">
        <v>17167.7</v>
      </c>
      <c r="C37" s="40">
        <v>17332.099999999999</v>
      </c>
      <c r="D37" s="40">
        <v>17777.3</v>
      </c>
      <c r="E37" s="40">
        <v>336</v>
      </c>
      <c r="F37" s="40">
        <v>297.48</v>
      </c>
      <c r="G37" s="40">
        <f t="shared" si="0"/>
        <v>18074.78</v>
      </c>
      <c r="H37" s="59"/>
      <c r="I37" s="65">
        <f>'IVC Nuova'!B33*12</f>
        <v>53.28</v>
      </c>
      <c r="J37" s="65">
        <f>'IVC Nuova'!C33*12</f>
        <v>88.92</v>
      </c>
      <c r="K37" s="65">
        <f>'IVC Nuova'!D33*12</f>
        <v>90.36</v>
      </c>
      <c r="L37" s="65">
        <f>'IVC Nuova'!E33*12</f>
        <v>695.77200000000005</v>
      </c>
      <c r="Q37" s="42" t="s">
        <v>49</v>
      </c>
      <c r="R37" s="41" t="s">
        <v>26</v>
      </c>
      <c r="S37" s="40">
        <v>1209.06</v>
      </c>
      <c r="T37" s="64">
        <f t="shared" si="1"/>
        <v>1246.1599999999999</v>
      </c>
      <c r="U37" s="64">
        <f>T37+300</f>
        <v>1546.1599999999999</v>
      </c>
    </row>
    <row r="38" spans="1:21" ht="14.1" customHeight="1" x14ac:dyDescent="0.2">
      <c r="A38" s="42" t="s">
        <v>30</v>
      </c>
      <c r="B38" s="40">
        <v>15221.94</v>
      </c>
      <c r="C38" s="40">
        <v>15321.54</v>
      </c>
      <c r="D38" s="40">
        <v>15628.74</v>
      </c>
      <c r="E38" s="40"/>
      <c r="F38" s="40">
        <v>26.56</v>
      </c>
      <c r="G38" s="40">
        <f t="shared" si="0"/>
        <v>15655.3</v>
      </c>
      <c r="H38" s="59"/>
      <c r="S38" s="37"/>
    </row>
    <row r="40" spans="1:21" x14ac:dyDescent="0.2">
      <c r="F40" t="s">
        <v>81</v>
      </c>
      <c r="S40" s="37"/>
    </row>
    <row r="41" spans="1:21" x14ac:dyDescent="0.2">
      <c r="F41" t="s">
        <v>82</v>
      </c>
      <c r="S41" s="37"/>
    </row>
  </sheetData>
  <mergeCells count="2">
    <mergeCell ref="I5:L5"/>
    <mergeCell ref="I4:L4"/>
  </mergeCells>
  <printOptions horizontalCentered="1"/>
  <pageMargins left="0" right="0" top="0.74803149606299213" bottom="0.74803149606299213" header="0.31496062992125984" footer="0.31496062992125984"/>
  <pageSetup paperSize="8"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AE1E-8F62-4627-873D-6C5B3CABBB7F}">
  <dimension ref="A1:G13"/>
  <sheetViews>
    <sheetView topLeftCell="A4" zoomScaleNormal="100" workbookViewId="0">
      <selection activeCell="C7" sqref="C7"/>
    </sheetView>
  </sheetViews>
  <sheetFormatPr defaultRowHeight="12.75" x14ac:dyDescent="0.2"/>
  <cols>
    <col min="1" max="1" width="27.28515625" style="88" customWidth="1"/>
    <col min="2" max="2" width="25.5703125" style="88" bestFit="1" customWidth="1"/>
    <col min="3" max="3" width="12.28515625" style="88" customWidth="1"/>
    <col min="4" max="4" width="5.7109375" style="88" customWidth="1"/>
    <col min="5" max="5" width="13.7109375" style="60" customWidth="1"/>
    <col min="6" max="6" width="5.7109375" style="88" customWidth="1"/>
    <col min="8" max="16384" width="9.140625" style="88"/>
  </cols>
  <sheetData>
    <row r="1" spans="1:7" ht="13.5" thickBot="1" x14ac:dyDescent="0.25">
      <c r="G1" s="88"/>
    </row>
    <row r="2" spans="1:7" ht="18.75" x14ac:dyDescent="0.2">
      <c r="A2" s="51" t="s">
        <v>47</v>
      </c>
      <c r="B2" s="89"/>
      <c r="G2" s="88"/>
    </row>
    <row r="3" spans="1:7" ht="12.75" customHeight="1" x14ac:dyDescent="0.2">
      <c r="A3" s="46"/>
      <c r="B3" s="90"/>
      <c r="G3" s="88"/>
    </row>
    <row r="4" spans="1:7" ht="12.75" customHeight="1" x14ac:dyDescent="0.2">
      <c r="A4" s="47" t="s">
        <v>29</v>
      </c>
      <c r="B4" s="90"/>
      <c r="E4" s="88"/>
      <c r="G4" s="88"/>
    </row>
    <row r="5" spans="1:7" ht="13.5" customHeight="1" thickBot="1" x14ac:dyDescent="0.25">
      <c r="A5" s="48"/>
      <c r="B5" s="91"/>
      <c r="E5" s="88"/>
      <c r="G5" s="88"/>
    </row>
    <row r="6" spans="1:7" ht="38.25" x14ac:dyDescent="0.2">
      <c r="A6" s="43" t="s">
        <v>28</v>
      </c>
      <c r="B6" s="43" t="s">
        <v>167</v>
      </c>
      <c r="C6" s="1" t="s">
        <v>158</v>
      </c>
      <c r="E6" s="86" t="s">
        <v>156</v>
      </c>
      <c r="G6" s="88"/>
    </row>
    <row r="7" spans="1:7" x14ac:dyDescent="0.2">
      <c r="A7" s="87" t="s">
        <v>164</v>
      </c>
      <c r="B7" s="92">
        <v>26890.05</v>
      </c>
      <c r="C7" s="93">
        <v>3359.4</v>
      </c>
      <c r="E7" s="65">
        <f>'IVC Nuova'!E10*12</f>
        <v>1034.8799999999999</v>
      </c>
      <c r="G7" s="88"/>
    </row>
    <row r="8" spans="1:7" ht="14.1" customHeight="1" x14ac:dyDescent="0.2">
      <c r="A8" s="87" t="s">
        <v>163</v>
      </c>
      <c r="B8" s="92">
        <v>23902.47</v>
      </c>
      <c r="C8" s="93">
        <v>2842.16</v>
      </c>
      <c r="E8" s="65">
        <f>'IVC Nuova'!E18*12</f>
        <v>920.30400000000009</v>
      </c>
      <c r="G8" s="88"/>
    </row>
    <row r="9" spans="1:7" ht="14.1" customHeight="1" x14ac:dyDescent="0.2">
      <c r="A9" s="87" t="s">
        <v>162</v>
      </c>
      <c r="B9" s="92">
        <v>20952.599999999999</v>
      </c>
      <c r="C9" s="93">
        <v>2053.9700000000003</v>
      </c>
      <c r="E9" s="65">
        <f>'IVC Nuova'!E25*12</f>
        <v>806.65200000000004</v>
      </c>
      <c r="G9" s="88"/>
    </row>
    <row r="10" spans="1:7" ht="14.1" customHeight="1" x14ac:dyDescent="0.2">
      <c r="A10" s="41" t="s">
        <v>161</v>
      </c>
      <c r="B10" s="92">
        <v>19967.47</v>
      </c>
      <c r="C10" s="93">
        <v>1546.1599999999999</v>
      </c>
      <c r="E10" s="65">
        <f>'IVC Nuova'!E31*12</f>
        <v>768.76800000000003</v>
      </c>
      <c r="G10" s="88"/>
    </row>
    <row r="12" spans="1:7" x14ac:dyDescent="0.2">
      <c r="G12" s="88"/>
    </row>
    <row r="13" spans="1:7" x14ac:dyDescent="0.2">
      <c r="G13" s="88"/>
    </row>
  </sheetData>
  <printOptions horizontalCentered="1"/>
  <pageMargins left="0" right="0" top="0.74803149606299213" bottom="0.74803149606299213" header="0.31496062992125984" footer="0.31496062992125984"/>
  <pageSetup paperSize="8" scale="7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5C726-B5A6-4441-82AE-DDA523501FEC}">
  <sheetPr codeName="Foglio10"/>
  <dimension ref="A1:N34"/>
  <sheetViews>
    <sheetView workbookViewId="0">
      <selection activeCell="O40" sqref="O40"/>
    </sheetView>
  </sheetViews>
  <sheetFormatPr defaultRowHeight="12.75" x14ac:dyDescent="0.2"/>
  <cols>
    <col min="1" max="1" width="10.5703125" customWidth="1"/>
    <col min="2" max="2" width="11.85546875" customWidth="1"/>
    <col min="3" max="3" width="14.140625" customWidth="1"/>
    <col min="4" max="4" width="14" customWidth="1"/>
    <col min="5" max="8" width="10.5703125" customWidth="1"/>
    <col min="9" max="9" width="21.85546875" customWidth="1"/>
  </cols>
  <sheetData>
    <row r="1" spans="1:14" ht="30.75" customHeight="1" x14ac:dyDescent="0.2">
      <c r="A1" s="85" t="s">
        <v>155</v>
      </c>
      <c r="J1" s="346" t="s">
        <v>221</v>
      </c>
      <c r="K1" s="346"/>
      <c r="M1" s="346" t="s">
        <v>222</v>
      </c>
      <c r="N1" s="346"/>
    </row>
    <row r="2" spans="1:14" ht="63.75" x14ac:dyDescent="0.2">
      <c r="A2" s="1" t="s">
        <v>28</v>
      </c>
      <c r="B2" s="86" t="s">
        <v>97</v>
      </c>
      <c r="C2" s="86" t="s">
        <v>100</v>
      </c>
      <c r="D2" s="86" t="s">
        <v>101</v>
      </c>
      <c r="E2" s="86" t="s">
        <v>154</v>
      </c>
      <c r="F2" s="86" t="s">
        <v>212</v>
      </c>
      <c r="G2" s="86" t="s">
        <v>213</v>
      </c>
      <c r="H2" s="271"/>
      <c r="J2" s="86" t="s">
        <v>210</v>
      </c>
      <c r="K2" s="86" t="s">
        <v>211</v>
      </c>
      <c r="M2" s="86" t="s">
        <v>210</v>
      </c>
      <c r="N2" s="86" t="s">
        <v>211</v>
      </c>
    </row>
    <row r="3" spans="1:14" x14ac:dyDescent="0.2">
      <c r="A3" s="39" t="s">
        <v>50</v>
      </c>
      <c r="B3" s="70">
        <v>9.48</v>
      </c>
      <c r="C3" s="70">
        <v>15.8</v>
      </c>
      <c r="D3" s="70">
        <v>15.8</v>
      </c>
      <c r="E3" s="70">
        <f>D3+D3*6.7</f>
        <v>121.66000000000001</v>
      </c>
      <c r="F3" s="70">
        <v>150.30000000000001</v>
      </c>
      <c r="G3" s="70">
        <f>F3-E3</f>
        <v>28.64</v>
      </c>
      <c r="H3" s="272"/>
      <c r="J3" s="70">
        <v>13.45</v>
      </c>
      <c r="K3" s="70">
        <v>22.471</v>
      </c>
      <c r="M3" s="70">
        <v>14.35</v>
      </c>
      <c r="N3" s="70">
        <v>23.91</v>
      </c>
    </row>
    <row r="4" spans="1:14" x14ac:dyDescent="0.2">
      <c r="A4" s="39" t="s">
        <v>51</v>
      </c>
      <c r="B4" s="70">
        <v>9.1999999999999993</v>
      </c>
      <c r="C4" s="70">
        <v>15.34</v>
      </c>
      <c r="D4" s="70">
        <v>15.34</v>
      </c>
      <c r="E4" s="70">
        <f t="shared" ref="E4:E34" si="0">D4+D4*6.7</f>
        <v>118.11800000000001</v>
      </c>
      <c r="F4" s="70">
        <v>150.30000000000001</v>
      </c>
      <c r="G4" s="70">
        <f t="shared" ref="G4:G34" si="1">F4-E4</f>
        <v>32.182000000000002</v>
      </c>
      <c r="H4" s="272"/>
      <c r="J4" s="70">
        <v>13.45</v>
      </c>
      <c r="K4" s="70">
        <v>22.471</v>
      </c>
      <c r="M4" s="70">
        <v>14.35</v>
      </c>
      <c r="N4" s="70">
        <v>23.91</v>
      </c>
    </row>
    <row r="5" spans="1:14" x14ac:dyDescent="0.2">
      <c r="A5" s="39" t="s">
        <v>52</v>
      </c>
      <c r="B5" s="70">
        <v>8.85</v>
      </c>
      <c r="C5" s="70">
        <v>14.75</v>
      </c>
      <c r="D5" s="70">
        <v>14.75</v>
      </c>
      <c r="E5" s="70">
        <f t="shared" si="0"/>
        <v>113.575</v>
      </c>
      <c r="F5" s="70">
        <v>150.30000000000001</v>
      </c>
      <c r="G5" s="70">
        <f t="shared" si="1"/>
        <v>36.725000000000009</v>
      </c>
      <c r="H5" s="272"/>
      <c r="J5" s="70">
        <v>13.45</v>
      </c>
      <c r="K5" s="70">
        <v>22.471</v>
      </c>
      <c r="M5" s="70">
        <v>14.35</v>
      </c>
      <c r="N5" s="70">
        <v>23.91</v>
      </c>
    </row>
    <row r="6" spans="1:14" x14ac:dyDescent="0.2">
      <c r="A6" s="39" t="s">
        <v>53</v>
      </c>
      <c r="B6" s="70">
        <v>8.51</v>
      </c>
      <c r="C6" s="70">
        <v>14.19</v>
      </c>
      <c r="D6" s="70">
        <v>14.19</v>
      </c>
      <c r="E6" s="70">
        <f t="shared" si="0"/>
        <v>109.26299999999999</v>
      </c>
      <c r="F6" s="70">
        <v>150.30000000000001</v>
      </c>
      <c r="G6" s="70">
        <f t="shared" si="1"/>
        <v>41.03700000000002</v>
      </c>
      <c r="H6" s="272"/>
      <c r="J6" s="70">
        <v>13.45</v>
      </c>
      <c r="K6" s="70">
        <v>22.471</v>
      </c>
      <c r="M6" s="70">
        <v>14.35</v>
      </c>
      <c r="N6" s="70">
        <v>23.91</v>
      </c>
    </row>
    <row r="7" spans="1:14" x14ac:dyDescent="0.2">
      <c r="A7" s="39" t="s">
        <v>54</v>
      </c>
      <c r="B7" s="70">
        <v>8.15</v>
      </c>
      <c r="C7" s="70">
        <v>13.58</v>
      </c>
      <c r="D7" s="70">
        <v>13.58</v>
      </c>
      <c r="E7" s="70">
        <f t="shared" si="0"/>
        <v>104.566</v>
      </c>
      <c r="F7" s="70">
        <v>150.30000000000001</v>
      </c>
      <c r="G7" s="70">
        <f t="shared" si="1"/>
        <v>45.734000000000009</v>
      </c>
      <c r="H7" s="272"/>
      <c r="J7" s="70">
        <v>13.45</v>
      </c>
      <c r="K7" s="70">
        <v>22.471</v>
      </c>
      <c r="M7" s="70">
        <v>14.35</v>
      </c>
      <c r="N7" s="70">
        <v>23.91</v>
      </c>
    </row>
    <row r="8" spans="1:14" x14ac:dyDescent="0.2">
      <c r="A8" s="39" t="s">
        <v>55</v>
      </c>
      <c r="B8" s="70">
        <v>7.55</v>
      </c>
      <c r="C8" s="70">
        <v>12.59</v>
      </c>
      <c r="D8" s="70">
        <v>12.59</v>
      </c>
      <c r="E8" s="70">
        <f t="shared" si="0"/>
        <v>96.942999999999998</v>
      </c>
      <c r="F8" s="70">
        <v>150.30000000000001</v>
      </c>
      <c r="G8" s="70">
        <f t="shared" si="1"/>
        <v>53.357000000000014</v>
      </c>
      <c r="H8" s="272"/>
      <c r="J8" s="70">
        <v>13.45</v>
      </c>
      <c r="K8" s="70">
        <v>22.471</v>
      </c>
      <c r="M8" s="70">
        <v>14.35</v>
      </c>
      <c r="N8" s="70">
        <v>23.91</v>
      </c>
    </row>
    <row r="9" spans="1:14" x14ac:dyDescent="0.2">
      <c r="A9" s="39" t="s">
        <v>56</v>
      </c>
      <c r="B9" s="70">
        <v>7.15</v>
      </c>
      <c r="C9" s="70">
        <v>11.91</v>
      </c>
      <c r="D9" s="70">
        <v>11.91</v>
      </c>
      <c r="E9" s="70">
        <f t="shared" si="0"/>
        <v>91.706999999999994</v>
      </c>
      <c r="F9" s="70">
        <v>150.30000000000001</v>
      </c>
      <c r="G9" s="70">
        <f t="shared" si="1"/>
        <v>58.593000000000018</v>
      </c>
      <c r="H9" s="272"/>
      <c r="J9" s="70">
        <v>13.45</v>
      </c>
      <c r="K9" s="70">
        <v>22.471</v>
      </c>
      <c r="M9" s="70">
        <v>14.35</v>
      </c>
      <c r="N9" s="70">
        <v>23.91</v>
      </c>
    </row>
    <row r="10" spans="1:14" ht="25.5" x14ac:dyDescent="0.2">
      <c r="A10" s="39" t="s">
        <v>57</v>
      </c>
      <c r="B10" s="70">
        <v>6.72</v>
      </c>
      <c r="C10" s="70">
        <v>11.2</v>
      </c>
      <c r="D10" s="70">
        <v>11.2</v>
      </c>
      <c r="E10" s="70">
        <f t="shared" si="0"/>
        <v>86.24</v>
      </c>
      <c r="F10" s="70">
        <v>150.30000000000001</v>
      </c>
      <c r="G10" s="70">
        <f t="shared" si="1"/>
        <v>64.060000000000016</v>
      </c>
      <c r="H10" s="70"/>
      <c r="I10" s="87" t="s">
        <v>164</v>
      </c>
      <c r="J10" s="70">
        <v>13.45</v>
      </c>
      <c r="K10" s="70">
        <v>22.471</v>
      </c>
      <c r="M10" s="70">
        <v>14.35</v>
      </c>
      <c r="N10" s="70">
        <v>23.91</v>
      </c>
    </row>
    <row r="11" spans="1:14" x14ac:dyDescent="0.2">
      <c r="A11" s="39" t="s">
        <v>58</v>
      </c>
      <c r="B11" s="70">
        <v>7.77</v>
      </c>
      <c r="C11" s="70">
        <v>12.94</v>
      </c>
      <c r="D11" s="70">
        <v>12.94</v>
      </c>
      <c r="E11" s="70">
        <f t="shared" si="0"/>
        <v>99.637999999999991</v>
      </c>
      <c r="F11" s="70">
        <v>133.61000000000001</v>
      </c>
      <c r="G11" s="70">
        <f t="shared" si="1"/>
        <v>33.972000000000023</v>
      </c>
      <c r="H11" s="272"/>
      <c r="J11" s="70">
        <v>11.95</v>
      </c>
      <c r="K11" s="70">
        <v>19.920000000000002</v>
      </c>
      <c r="M11" s="70">
        <v>12.75</v>
      </c>
      <c r="N11" s="70">
        <v>21.25</v>
      </c>
    </row>
    <row r="12" spans="1:14" x14ac:dyDescent="0.2">
      <c r="A12" s="39" t="s">
        <v>59</v>
      </c>
      <c r="B12" s="70">
        <v>7.54</v>
      </c>
      <c r="C12" s="70">
        <v>12.57</v>
      </c>
      <c r="D12" s="70">
        <v>12.57</v>
      </c>
      <c r="E12" s="70">
        <f t="shared" si="0"/>
        <v>96.789000000000016</v>
      </c>
      <c r="F12" s="70">
        <v>133.61000000000001</v>
      </c>
      <c r="G12" s="70">
        <f t="shared" si="1"/>
        <v>36.820999999999998</v>
      </c>
      <c r="H12" s="272"/>
      <c r="J12" s="70">
        <v>11.95</v>
      </c>
      <c r="K12" s="70">
        <v>19.920000000000002</v>
      </c>
      <c r="M12" s="70">
        <v>12.75</v>
      </c>
      <c r="N12" s="70">
        <v>21.25</v>
      </c>
    </row>
    <row r="13" spans="1:14" x14ac:dyDescent="0.2">
      <c r="A13" s="39" t="s">
        <v>60</v>
      </c>
      <c r="B13" s="70">
        <v>7.28</v>
      </c>
      <c r="C13" s="70">
        <v>12.13</v>
      </c>
      <c r="D13" s="70">
        <v>12.13</v>
      </c>
      <c r="E13" s="70">
        <f t="shared" si="0"/>
        <v>93.400999999999996</v>
      </c>
      <c r="F13" s="70">
        <v>133.61000000000001</v>
      </c>
      <c r="G13" s="70">
        <f t="shared" si="1"/>
        <v>40.209000000000017</v>
      </c>
      <c r="H13" s="272"/>
      <c r="J13" s="70">
        <v>11.95</v>
      </c>
      <c r="K13" s="70">
        <v>19.920000000000002</v>
      </c>
      <c r="M13" s="70">
        <v>12.75</v>
      </c>
      <c r="N13" s="70">
        <v>21.25</v>
      </c>
    </row>
    <row r="14" spans="1:14" x14ac:dyDescent="0.2">
      <c r="A14" s="39" t="s">
        <v>61</v>
      </c>
      <c r="B14" s="70">
        <v>7.02</v>
      </c>
      <c r="C14" s="70">
        <v>11.7</v>
      </c>
      <c r="D14" s="70">
        <v>11.7</v>
      </c>
      <c r="E14" s="70">
        <f t="shared" si="0"/>
        <v>90.09</v>
      </c>
      <c r="F14" s="70">
        <v>133.61000000000001</v>
      </c>
      <c r="G14" s="70">
        <f t="shared" si="1"/>
        <v>43.52000000000001</v>
      </c>
      <c r="H14" s="272"/>
      <c r="J14" s="70">
        <v>11.95</v>
      </c>
      <c r="K14" s="70">
        <v>19.920000000000002</v>
      </c>
      <c r="M14" s="70">
        <v>12.75</v>
      </c>
      <c r="N14" s="70">
        <v>21.25</v>
      </c>
    </row>
    <row r="15" spans="1:14" x14ac:dyDescent="0.2">
      <c r="A15" s="39" t="s">
        <v>62</v>
      </c>
      <c r="B15" s="70">
        <v>6.78</v>
      </c>
      <c r="C15" s="70">
        <v>11.3</v>
      </c>
      <c r="D15" s="70">
        <v>11.3</v>
      </c>
      <c r="E15" s="70">
        <f t="shared" si="0"/>
        <v>87.01</v>
      </c>
      <c r="F15" s="70">
        <v>133.61000000000001</v>
      </c>
      <c r="G15" s="70">
        <f t="shared" si="1"/>
        <v>46.600000000000009</v>
      </c>
      <c r="H15" s="272"/>
      <c r="J15" s="70">
        <v>11.95</v>
      </c>
      <c r="K15" s="70">
        <v>19.920000000000002</v>
      </c>
      <c r="M15" s="70">
        <v>12.75</v>
      </c>
      <c r="N15" s="70">
        <v>21.25</v>
      </c>
    </row>
    <row r="16" spans="1:14" x14ac:dyDescent="0.2">
      <c r="A16" s="39" t="s">
        <v>63</v>
      </c>
      <c r="B16" s="70">
        <v>6.45</v>
      </c>
      <c r="C16" s="70">
        <v>10.75</v>
      </c>
      <c r="D16" s="70">
        <v>10.75</v>
      </c>
      <c r="E16" s="70">
        <f t="shared" si="0"/>
        <v>82.775000000000006</v>
      </c>
      <c r="F16" s="70">
        <v>133.61000000000001</v>
      </c>
      <c r="G16" s="70">
        <f t="shared" si="1"/>
        <v>50.835000000000008</v>
      </c>
      <c r="H16" s="272"/>
      <c r="J16" s="70">
        <v>11.95</v>
      </c>
      <c r="K16" s="70">
        <v>19.920000000000002</v>
      </c>
      <c r="M16" s="70">
        <v>12.75</v>
      </c>
      <c r="N16" s="70">
        <v>21.25</v>
      </c>
    </row>
    <row r="17" spans="1:14" x14ac:dyDescent="0.2">
      <c r="A17" s="39" t="s">
        <v>64</v>
      </c>
      <c r="B17" s="70">
        <v>6.18</v>
      </c>
      <c r="C17" s="70">
        <v>10.31</v>
      </c>
      <c r="D17" s="70">
        <v>10.34</v>
      </c>
      <c r="E17" s="70">
        <f t="shared" si="0"/>
        <v>79.618000000000009</v>
      </c>
      <c r="F17" s="70">
        <v>133.61000000000001</v>
      </c>
      <c r="G17" s="70">
        <f t="shared" si="1"/>
        <v>53.992000000000004</v>
      </c>
      <c r="H17" s="272"/>
      <c r="J17" s="70">
        <v>11.95</v>
      </c>
      <c r="K17" s="70">
        <v>19.920000000000002</v>
      </c>
      <c r="M17" s="70">
        <v>12.75</v>
      </c>
      <c r="N17" s="70">
        <v>21.25</v>
      </c>
    </row>
    <row r="18" spans="1:14" x14ac:dyDescent="0.2">
      <c r="A18" s="39" t="s">
        <v>65</v>
      </c>
      <c r="B18" s="70">
        <v>5.95</v>
      </c>
      <c r="C18" s="70">
        <v>9.92</v>
      </c>
      <c r="D18" s="70">
        <v>9.9600000000000009</v>
      </c>
      <c r="E18" s="70">
        <f t="shared" si="0"/>
        <v>76.692000000000007</v>
      </c>
      <c r="F18" s="70">
        <v>133.61000000000001</v>
      </c>
      <c r="G18" s="70">
        <f t="shared" si="1"/>
        <v>56.918000000000006</v>
      </c>
      <c r="H18" s="70"/>
      <c r="I18" s="87" t="s">
        <v>163</v>
      </c>
      <c r="J18" s="70">
        <v>11.95</v>
      </c>
      <c r="K18" s="70">
        <v>19.920000000000002</v>
      </c>
      <c r="M18" s="70">
        <v>12.75</v>
      </c>
      <c r="N18" s="70">
        <v>21.25</v>
      </c>
    </row>
    <row r="19" spans="1:14" x14ac:dyDescent="0.2">
      <c r="A19" s="39" t="s">
        <v>66</v>
      </c>
      <c r="B19" s="70">
        <v>6.44</v>
      </c>
      <c r="C19" s="70">
        <v>10.74</v>
      </c>
      <c r="D19" s="70">
        <v>10.74</v>
      </c>
      <c r="E19" s="70">
        <f t="shared" si="0"/>
        <v>82.697999999999993</v>
      </c>
      <c r="F19" s="70">
        <v>117.12</v>
      </c>
      <c r="G19" s="70">
        <f t="shared" si="1"/>
        <v>34.422000000000011</v>
      </c>
      <c r="H19" s="272"/>
      <c r="J19" s="70">
        <v>10.48</v>
      </c>
      <c r="K19" s="70">
        <v>17.46</v>
      </c>
      <c r="M19" s="70">
        <v>11.18</v>
      </c>
      <c r="N19" s="70">
        <v>18.63</v>
      </c>
    </row>
    <row r="20" spans="1:14" x14ac:dyDescent="0.2">
      <c r="A20" s="39" t="s">
        <v>67</v>
      </c>
      <c r="B20" s="70">
        <v>6.24</v>
      </c>
      <c r="C20" s="70">
        <v>10.41</v>
      </c>
      <c r="D20" s="70">
        <v>10.43</v>
      </c>
      <c r="E20" s="70">
        <f t="shared" si="0"/>
        <v>80.311000000000007</v>
      </c>
      <c r="F20" s="70">
        <v>117.12</v>
      </c>
      <c r="G20" s="70">
        <f t="shared" si="1"/>
        <v>36.808999999999997</v>
      </c>
      <c r="H20" s="272"/>
      <c r="J20" s="70">
        <v>10.48</v>
      </c>
      <c r="K20" s="70">
        <v>17.46</v>
      </c>
      <c r="M20" s="70">
        <v>11.18</v>
      </c>
      <c r="N20" s="70">
        <v>18.63</v>
      </c>
    </row>
    <row r="21" spans="1:14" x14ac:dyDescent="0.2">
      <c r="A21" s="39" t="s">
        <v>68</v>
      </c>
      <c r="B21" s="70">
        <v>6.05</v>
      </c>
      <c r="C21" s="70">
        <v>10.08</v>
      </c>
      <c r="D21" s="70">
        <v>10.11</v>
      </c>
      <c r="E21" s="70">
        <f t="shared" si="0"/>
        <v>77.846999999999994</v>
      </c>
      <c r="F21" s="70">
        <v>117.12</v>
      </c>
      <c r="G21" s="70">
        <f t="shared" si="1"/>
        <v>39.27300000000001</v>
      </c>
      <c r="H21" s="272"/>
      <c r="J21" s="70">
        <v>10.48</v>
      </c>
      <c r="K21" s="70">
        <v>17.46</v>
      </c>
      <c r="M21" s="70">
        <v>11.18</v>
      </c>
      <c r="N21" s="70">
        <v>18.63</v>
      </c>
    </row>
    <row r="22" spans="1:14" x14ac:dyDescent="0.2">
      <c r="A22" s="39" t="s">
        <v>69</v>
      </c>
      <c r="B22" s="70">
        <v>5.86</v>
      </c>
      <c r="C22" s="70">
        <v>9.76</v>
      </c>
      <c r="D22" s="70">
        <v>9.8000000000000007</v>
      </c>
      <c r="E22" s="70">
        <f t="shared" si="0"/>
        <v>75.460000000000008</v>
      </c>
      <c r="F22" s="70">
        <v>117.12</v>
      </c>
      <c r="G22" s="70">
        <f t="shared" si="1"/>
        <v>41.66</v>
      </c>
      <c r="H22" s="272"/>
      <c r="J22" s="70">
        <v>10.48</v>
      </c>
      <c r="K22" s="70">
        <v>17.46</v>
      </c>
      <c r="M22" s="70">
        <v>11.18</v>
      </c>
      <c r="N22" s="70">
        <v>18.63</v>
      </c>
    </row>
    <row r="23" spans="1:14" x14ac:dyDescent="0.2">
      <c r="A23" s="39" t="s">
        <v>70</v>
      </c>
      <c r="B23" s="70">
        <v>5.67</v>
      </c>
      <c r="C23" s="70">
        <v>9.4600000000000009</v>
      </c>
      <c r="D23" s="70">
        <v>9.51</v>
      </c>
      <c r="E23" s="70">
        <f t="shared" si="0"/>
        <v>73.227000000000004</v>
      </c>
      <c r="F23" s="70">
        <v>117.12</v>
      </c>
      <c r="G23" s="70">
        <f t="shared" si="1"/>
        <v>43.893000000000001</v>
      </c>
      <c r="H23" s="272"/>
      <c r="J23" s="70">
        <v>10.48</v>
      </c>
      <c r="K23" s="70">
        <v>17.46</v>
      </c>
      <c r="M23" s="70">
        <v>11.18</v>
      </c>
      <c r="N23" s="70">
        <v>18.63</v>
      </c>
    </row>
    <row r="24" spans="1:14" x14ac:dyDescent="0.2">
      <c r="A24" s="39" t="s">
        <v>71</v>
      </c>
      <c r="B24" s="70">
        <v>5.4</v>
      </c>
      <c r="C24" s="70">
        <v>8.99</v>
      </c>
      <c r="D24" s="70">
        <v>9.06</v>
      </c>
      <c r="E24" s="70">
        <f t="shared" si="0"/>
        <v>69.762</v>
      </c>
      <c r="F24" s="70">
        <v>117.12</v>
      </c>
      <c r="G24" s="70">
        <f t="shared" si="1"/>
        <v>47.358000000000004</v>
      </c>
      <c r="H24" s="272"/>
      <c r="J24" s="70">
        <v>10.48</v>
      </c>
      <c r="K24" s="70">
        <v>17.46</v>
      </c>
      <c r="M24" s="70">
        <v>11.18</v>
      </c>
      <c r="N24" s="70">
        <v>18.63</v>
      </c>
    </row>
    <row r="25" spans="1:14" x14ac:dyDescent="0.2">
      <c r="A25" s="39" t="s">
        <v>72</v>
      </c>
      <c r="B25" s="70">
        <v>5.19</v>
      </c>
      <c r="C25" s="70">
        <v>8.65</v>
      </c>
      <c r="D25" s="70">
        <v>8.73</v>
      </c>
      <c r="E25" s="70">
        <f t="shared" si="0"/>
        <v>67.221000000000004</v>
      </c>
      <c r="F25" s="70">
        <v>117.12</v>
      </c>
      <c r="G25" s="70">
        <f t="shared" si="1"/>
        <v>49.899000000000001</v>
      </c>
      <c r="H25" s="70"/>
      <c r="I25" s="87" t="s">
        <v>162</v>
      </c>
      <c r="J25" s="70">
        <v>10.48</v>
      </c>
      <c r="K25" s="70">
        <v>17.46</v>
      </c>
      <c r="M25" s="70">
        <v>11.18</v>
      </c>
      <c r="N25" s="70">
        <v>18.63</v>
      </c>
    </row>
    <row r="26" spans="1:14" x14ac:dyDescent="0.2">
      <c r="A26" s="270" t="s">
        <v>73</v>
      </c>
      <c r="B26" s="268">
        <v>5.09</v>
      </c>
      <c r="C26" s="268">
        <v>8.48</v>
      </c>
      <c r="D26" s="268">
        <v>8.57</v>
      </c>
      <c r="E26" s="268">
        <f t="shared" si="0"/>
        <v>65.989000000000004</v>
      </c>
      <c r="F26" s="70">
        <v>117.12</v>
      </c>
      <c r="G26" s="70">
        <f t="shared" si="1"/>
        <v>51.131</v>
      </c>
      <c r="H26" s="273"/>
      <c r="I26" s="269"/>
      <c r="J26" s="268">
        <v>10.48</v>
      </c>
      <c r="K26" s="268">
        <v>17.46</v>
      </c>
      <c r="M26" s="268">
        <v>11.18</v>
      </c>
      <c r="N26" s="268">
        <v>18.63</v>
      </c>
    </row>
    <row r="27" spans="1:14" x14ac:dyDescent="0.2">
      <c r="A27" s="41" t="s">
        <v>31</v>
      </c>
      <c r="B27" s="70">
        <v>5.73</v>
      </c>
      <c r="C27" s="70">
        <v>9.5500000000000007</v>
      </c>
      <c r="D27" s="70">
        <v>9.5500000000000007</v>
      </c>
      <c r="E27" s="70">
        <f t="shared" si="0"/>
        <v>73.535000000000011</v>
      </c>
      <c r="F27" s="70">
        <v>111.61</v>
      </c>
      <c r="G27" s="70">
        <f t="shared" si="1"/>
        <v>38.074999999999989</v>
      </c>
      <c r="H27" s="272"/>
      <c r="J27" s="70">
        <v>9.98</v>
      </c>
      <c r="K27" s="70">
        <v>16.64</v>
      </c>
      <c r="M27" s="70">
        <v>10.65</v>
      </c>
      <c r="N27" s="70">
        <v>17.760000000000002</v>
      </c>
    </row>
    <row r="28" spans="1:14" x14ac:dyDescent="0.2">
      <c r="A28" s="41" t="s">
        <v>21</v>
      </c>
      <c r="B28" s="70">
        <v>5.56</v>
      </c>
      <c r="C28" s="70">
        <v>9.26</v>
      </c>
      <c r="D28" s="70">
        <v>9.32</v>
      </c>
      <c r="E28" s="70">
        <f t="shared" si="0"/>
        <v>71.76400000000001</v>
      </c>
      <c r="F28" s="70">
        <v>111.61</v>
      </c>
      <c r="G28" s="70">
        <f t="shared" si="1"/>
        <v>39.845999999999989</v>
      </c>
      <c r="H28" s="272"/>
      <c r="J28" s="70">
        <v>9.98</v>
      </c>
      <c r="K28" s="70">
        <v>16.64</v>
      </c>
      <c r="M28" s="70">
        <v>10.65</v>
      </c>
      <c r="N28" s="70">
        <v>17.760000000000002</v>
      </c>
    </row>
    <row r="29" spans="1:14" x14ac:dyDescent="0.2">
      <c r="A29" s="41" t="s">
        <v>22</v>
      </c>
      <c r="B29" s="70">
        <v>5.35</v>
      </c>
      <c r="C29" s="70">
        <v>8.92</v>
      </c>
      <c r="D29" s="70">
        <v>8.99</v>
      </c>
      <c r="E29" s="70">
        <f t="shared" si="0"/>
        <v>69.222999999999999</v>
      </c>
      <c r="F29" s="70">
        <v>111.61</v>
      </c>
      <c r="G29" s="70">
        <f t="shared" si="1"/>
        <v>42.387</v>
      </c>
      <c r="H29" s="272"/>
      <c r="J29" s="70">
        <v>9.98</v>
      </c>
      <c r="K29" s="70">
        <v>16.64</v>
      </c>
      <c r="M29" s="70">
        <v>10.65</v>
      </c>
      <c r="N29" s="70">
        <v>17.760000000000002</v>
      </c>
    </row>
    <row r="30" spans="1:14" x14ac:dyDescent="0.2">
      <c r="A30" s="41" t="s">
        <v>23</v>
      </c>
      <c r="B30" s="70">
        <v>5.15</v>
      </c>
      <c r="C30" s="70">
        <v>8.59</v>
      </c>
      <c r="D30" s="70">
        <v>8.67</v>
      </c>
      <c r="E30" s="70">
        <f t="shared" si="0"/>
        <v>66.759</v>
      </c>
      <c r="F30" s="70">
        <v>111.61</v>
      </c>
      <c r="G30" s="70">
        <f t="shared" si="1"/>
        <v>44.850999999999999</v>
      </c>
      <c r="H30" s="272"/>
      <c r="J30" s="70">
        <v>9.98</v>
      </c>
      <c r="K30" s="70">
        <v>16.64</v>
      </c>
      <c r="M30" s="70">
        <v>10.65</v>
      </c>
      <c r="N30" s="70">
        <v>17.760000000000002</v>
      </c>
    </row>
    <row r="31" spans="1:14" x14ac:dyDescent="0.2">
      <c r="A31" s="41" t="s">
        <v>24</v>
      </c>
      <c r="B31" s="70">
        <v>4.93</v>
      </c>
      <c r="C31" s="70">
        <v>8.2200000000000006</v>
      </c>
      <c r="D31" s="70">
        <v>8.32</v>
      </c>
      <c r="E31" s="70">
        <f t="shared" si="0"/>
        <v>64.064000000000007</v>
      </c>
      <c r="F31" s="70">
        <v>111.61</v>
      </c>
      <c r="G31" s="70">
        <f t="shared" si="1"/>
        <v>47.545999999999992</v>
      </c>
      <c r="H31" s="70"/>
      <c r="I31" s="87" t="s">
        <v>161</v>
      </c>
      <c r="J31" s="70">
        <v>9.98</v>
      </c>
      <c r="K31" s="70">
        <v>16.64</v>
      </c>
      <c r="M31" s="70">
        <v>10.65</v>
      </c>
      <c r="N31" s="70">
        <v>17.760000000000002</v>
      </c>
    </row>
    <row r="32" spans="1:14" x14ac:dyDescent="0.2">
      <c r="A32" s="267" t="s">
        <v>25</v>
      </c>
      <c r="B32" s="268">
        <v>4.72</v>
      </c>
      <c r="C32" s="268">
        <v>7.87</v>
      </c>
      <c r="D32" s="268">
        <v>7.98</v>
      </c>
      <c r="E32" s="268">
        <f t="shared" si="0"/>
        <v>61.445999999999998</v>
      </c>
      <c r="F32" s="70">
        <v>111.61</v>
      </c>
      <c r="G32" s="70">
        <f t="shared" si="1"/>
        <v>50.164000000000001</v>
      </c>
      <c r="H32" s="273"/>
      <c r="I32" s="269"/>
      <c r="J32" s="268">
        <v>9.98</v>
      </c>
      <c r="K32" s="268">
        <v>16.64</v>
      </c>
      <c r="M32" s="268">
        <v>10.65</v>
      </c>
      <c r="N32" s="268">
        <v>17.760000000000002</v>
      </c>
    </row>
    <row r="33" spans="1:14" x14ac:dyDescent="0.2">
      <c r="A33" s="267" t="s">
        <v>26</v>
      </c>
      <c r="B33" s="268">
        <v>4.4400000000000004</v>
      </c>
      <c r="C33" s="268">
        <v>7.41</v>
      </c>
      <c r="D33" s="268">
        <v>7.53</v>
      </c>
      <c r="E33" s="268">
        <f t="shared" si="0"/>
        <v>57.981000000000002</v>
      </c>
      <c r="F33" s="70">
        <v>111.61</v>
      </c>
      <c r="G33" s="70">
        <f t="shared" si="1"/>
        <v>53.628999999999998</v>
      </c>
      <c r="H33" s="273"/>
      <c r="I33" s="269"/>
      <c r="J33" s="268">
        <v>9.98</v>
      </c>
      <c r="K33" s="268">
        <v>16.64</v>
      </c>
      <c r="M33" s="268">
        <v>10.65</v>
      </c>
      <c r="N33" s="268">
        <v>17.760000000000002</v>
      </c>
    </row>
    <row r="34" spans="1:14" x14ac:dyDescent="0.2">
      <c r="A34" s="42" t="s">
        <v>30</v>
      </c>
      <c r="B34" s="70">
        <v>3.91</v>
      </c>
      <c r="C34" s="70">
        <v>6.51</v>
      </c>
      <c r="D34" s="70">
        <v>6.64</v>
      </c>
      <c r="E34" s="70">
        <f t="shared" si="0"/>
        <v>51.128</v>
      </c>
      <c r="F34" s="70">
        <v>111.61</v>
      </c>
      <c r="G34" s="70">
        <f t="shared" si="1"/>
        <v>60.481999999999999</v>
      </c>
      <c r="H34" s="272"/>
      <c r="J34" s="70">
        <v>7.97</v>
      </c>
      <c r="K34" s="70">
        <v>13.29</v>
      </c>
      <c r="M34" s="70">
        <v>9.07</v>
      </c>
      <c r="N34" s="70">
        <v>15.12</v>
      </c>
    </row>
  </sheetData>
  <mergeCells count="2">
    <mergeCell ref="J1:K1"/>
    <mergeCell ref="M1:N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1FC9-1B61-4618-BB5C-60B637501A62}">
  <sheetPr codeName="Foglio11"/>
  <dimension ref="A1:D44"/>
  <sheetViews>
    <sheetView workbookViewId="0">
      <selection activeCell="H26" sqref="H26"/>
    </sheetView>
  </sheetViews>
  <sheetFormatPr defaultRowHeight="14.25" x14ac:dyDescent="0.2"/>
  <cols>
    <col min="1" max="1" width="38.28515625" style="73" bestFit="1" customWidth="1"/>
    <col min="2" max="2" width="6.140625" style="73" bestFit="1" customWidth="1"/>
    <col min="3" max="3" width="24.140625" style="83" customWidth="1"/>
    <col min="4" max="4" width="22.7109375" style="83" customWidth="1"/>
    <col min="5" max="16384" width="9.140625" style="73"/>
  </cols>
  <sheetData>
    <row r="1" spans="1:4" s="71" customFormat="1" ht="15.75" x14ac:dyDescent="0.2">
      <c r="A1" s="347" t="s">
        <v>104</v>
      </c>
      <c r="B1" s="347"/>
      <c r="C1" s="347"/>
      <c r="D1" s="347"/>
    </row>
    <row r="2" spans="1:4" s="71" customFormat="1" ht="15.75" x14ac:dyDescent="0.2">
      <c r="A2" s="72"/>
      <c r="B2" s="72"/>
      <c r="C2" s="72"/>
      <c r="D2" s="72"/>
    </row>
    <row r="3" spans="1:4" s="71" customFormat="1" ht="90" customHeight="1" x14ac:dyDescent="0.2">
      <c r="A3" s="348" t="s">
        <v>105</v>
      </c>
      <c r="B3" s="348"/>
      <c r="C3" s="348"/>
      <c r="D3" s="348"/>
    </row>
    <row r="5" spans="1:4" x14ac:dyDescent="0.2">
      <c r="A5" s="349" t="s">
        <v>106</v>
      </c>
      <c r="B5" s="349"/>
      <c r="C5" s="349"/>
      <c r="D5" s="349"/>
    </row>
    <row r="6" spans="1:4" s="76" customFormat="1" ht="25.5" x14ac:dyDescent="0.2">
      <c r="A6" s="74" t="s">
        <v>107</v>
      </c>
      <c r="B6" s="74" t="s">
        <v>108</v>
      </c>
      <c r="C6" s="75" t="s">
        <v>109</v>
      </c>
      <c r="D6" s="75" t="s">
        <v>110</v>
      </c>
    </row>
    <row r="7" spans="1:4" x14ac:dyDescent="0.2">
      <c r="A7" s="77"/>
      <c r="B7" s="77"/>
      <c r="C7" s="78">
        <v>1.4999999999999999E-2</v>
      </c>
      <c r="D7" s="78">
        <v>1.4999999999999999E-2</v>
      </c>
    </row>
    <row r="8" spans="1:4" x14ac:dyDescent="0.2">
      <c r="A8" s="77" t="s">
        <v>111</v>
      </c>
      <c r="B8" s="77" t="s">
        <v>112</v>
      </c>
      <c r="C8" s="79">
        <v>52.22</v>
      </c>
      <c r="D8" s="79">
        <v>52.22</v>
      </c>
    </row>
    <row r="9" spans="1:4" x14ac:dyDescent="0.2">
      <c r="A9" s="77" t="s">
        <v>113</v>
      </c>
      <c r="B9" s="77" t="s">
        <v>112</v>
      </c>
      <c r="C9" s="79">
        <v>52.22</v>
      </c>
      <c r="D9" s="79">
        <v>52.22</v>
      </c>
    </row>
    <row r="10" spans="1:4" x14ac:dyDescent="0.2">
      <c r="A10" s="77" t="s">
        <v>114</v>
      </c>
      <c r="B10" s="77" t="s">
        <v>115</v>
      </c>
      <c r="C10" s="79">
        <v>35.74</v>
      </c>
      <c r="D10" s="79">
        <v>35.74</v>
      </c>
    </row>
    <row r="11" spans="1:4" x14ac:dyDescent="0.2">
      <c r="A11" s="77" t="s">
        <v>116</v>
      </c>
      <c r="B11" s="77" t="s">
        <v>117</v>
      </c>
      <c r="C11" s="79">
        <v>13.68</v>
      </c>
      <c r="D11" s="79">
        <v>13.68</v>
      </c>
    </row>
    <row r="12" spans="1:4" x14ac:dyDescent="0.2">
      <c r="A12" s="77" t="s">
        <v>118</v>
      </c>
      <c r="B12" s="79" t="s">
        <v>119</v>
      </c>
      <c r="C12" s="79">
        <v>19.54</v>
      </c>
      <c r="D12" s="79">
        <v>19.93</v>
      </c>
    </row>
    <row r="13" spans="1:4" x14ac:dyDescent="0.2">
      <c r="A13" s="77" t="s">
        <v>120</v>
      </c>
      <c r="B13" s="77" t="s">
        <v>43</v>
      </c>
      <c r="C13" s="79">
        <v>47.39</v>
      </c>
      <c r="D13" s="79">
        <v>47.39</v>
      </c>
    </row>
    <row r="14" spans="1:4" x14ac:dyDescent="0.2">
      <c r="A14" s="77" t="s">
        <v>121</v>
      </c>
      <c r="B14" s="77" t="s">
        <v>0</v>
      </c>
      <c r="C14" s="79">
        <v>46.01</v>
      </c>
      <c r="D14" s="79">
        <v>46.01</v>
      </c>
    </row>
    <row r="15" spans="1:4" x14ac:dyDescent="0.2">
      <c r="A15" s="77" t="s">
        <v>122</v>
      </c>
      <c r="B15" s="77" t="s">
        <v>1</v>
      </c>
      <c r="C15" s="79">
        <v>44.25</v>
      </c>
      <c r="D15" s="79">
        <v>44.25</v>
      </c>
    </row>
    <row r="16" spans="1:4" x14ac:dyDescent="0.2">
      <c r="A16" s="77" t="s">
        <v>123</v>
      </c>
      <c r="B16" s="77" t="s">
        <v>2</v>
      </c>
      <c r="C16" s="79">
        <v>42.56</v>
      </c>
      <c r="D16" s="79">
        <v>42.56</v>
      </c>
    </row>
    <row r="17" spans="1:4" x14ac:dyDescent="0.2">
      <c r="A17" s="77" t="s">
        <v>124</v>
      </c>
      <c r="B17" s="77" t="s">
        <v>3</v>
      </c>
      <c r="C17" s="79">
        <v>40.74</v>
      </c>
      <c r="D17" s="79">
        <v>40.74</v>
      </c>
    </row>
    <row r="18" spans="1:4" x14ac:dyDescent="0.2">
      <c r="A18" s="77" t="s">
        <v>125</v>
      </c>
      <c r="B18" s="77" t="s">
        <v>4</v>
      </c>
      <c r="C18" s="79">
        <v>37.76</v>
      </c>
      <c r="D18" s="79">
        <v>37.76</v>
      </c>
    </row>
    <row r="19" spans="1:4" x14ac:dyDescent="0.2">
      <c r="A19" s="77" t="s">
        <v>126</v>
      </c>
      <c r="B19" s="77" t="s">
        <v>5</v>
      </c>
      <c r="C19" s="79">
        <v>35.74</v>
      </c>
      <c r="D19" s="79">
        <v>35.74</v>
      </c>
    </row>
    <row r="20" spans="1:4" x14ac:dyDescent="0.2">
      <c r="A20" s="77" t="s">
        <v>127</v>
      </c>
      <c r="B20" s="77" t="s">
        <v>6</v>
      </c>
      <c r="C20" s="79">
        <v>33.61</v>
      </c>
      <c r="D20" s="79">
        <v>33.61</v>
      </c>
    </row>
    <row r="21" spans="1:4" x14ac:dyDescent="0.2">
      <c r="A21" s="77" t="s">
        <v>128</v>
      </c>
      <c r="B21" s="77" t="s">
        <v>44</v>
      </c>
      <c r="C21" s="79">
        <v>38.83</v>
      </c>
      <c r="D21" s="79">
        <v>38.83</v>
      </c>
    </row>
    <row r="22" spans="1:4" x14ac:dyDescent="0.2">
      <c r="A22" s="77" t="s">
        <v>129</v>
      </c>
      <c r="B22" s="77" t="s">
        <v>7</v>
      </c>
      <c r="C22" s="79">
        <v>37.700000000000003</v>
      </c>
      <c r="D22" s="79">
        <v>37.700000000000003</v>
      </c>
    </row>
    <row r="23" spans="1:4" x14ac:dyDescent="0.2">
      <c r="A23" s="77" t="s">
        <v>130</v>
      </c>
      <c r="B23" s="77" t="s">
        <v>8</v>
      </c>
      <c r="C23" s="79">
        <v>36.380000000000003</v>
      </c>
      <c r="D23" s="79">
        <v>36.380000000000003</v>
      </c>
    </row>
    <row r="24" spans="1:4" x14ac:dyDescent="0.2">
      <c r="A24" s="77" t="s">
        <v>131</v>
      </c>
      <c r="B24" s="77" t="s">
        <v>9</v>
      </c>
      <c r="C24" s="79">
        <v>35.11</v>
      </c>
      <c r="D24" s="79">
        <v>35.11</v>
      </c>
    </row>
    <row r="25" spans="1:4" x14ac:dyDescent="0.2">
      <c r="A25" s="77" t="s">
        <v>132</v>
      </c>
      <c r="B25" s="77" t="s">
        <v>10</v>
      </c>
      <c r="C25" s="79">
        <v>33.9</v>
      </c>
      <c r="D25" s="79">
        <v>33.9</v>
      </c>
    </row>
    <row r="26" spans="1:4" x14ac:dyDescent="0.2">
      <c r="A26" s="77" t="s">
        <v>133</v>
      </c>
      <c r="B26" s="77" t="s">
        <v>11</v>
      </c>
      <c r="C26" s="79">
        <v>32.26</v>
      </c>
      <c r="D26" s="79">
        <v>32.26</v>
      </c>
    </row>
    <row r="27" spans="1:4" x14ac:dyDescent="0.2">
      <c r="A27" s="77" t="s">
        <v>134</v>
      </c>
      <c r="B27" s="77" t="s">
        <v>12</v>
      </c>
      <c r="C27" s="79">
        <v>30.92</v>
      </c>
      <c r="D27" s="79">
        <v>31.01</v>
      </c>
    </row>
    <row r="28" spans="1:4" x14ac:dyDescent="0.2">
      <c r="A28" s="77" t="s">
        <v>135</v>
      </c>
      <c r="B28" s="77" t="s">
        <v>13</v>
      </c>
      <c r="C28" s="79">
        <v>29.76</v>
      </c>
      <c r="D28" s="79">
        <v>29.88</v>
      </c>
    </row>
    <row r="29" spans="1:4" x14ac:dyDescent="0.2">
      <c r="A29" s="77" t="s">
        <v>136</v>
      </c>
      <c r="B29" s="77" t="s">
        <v>45</v>
      </c>
      <c r="C29" s="79">
        <v>32.22</v>
      </c>
      <c r="D29" s="79">
        <v>32.22</v>
      </c>
    </row>
    <row r="30" spans="1:4" x14ac:dyDescent="0.2">
      <c r="A30" s="77" t="s">
        <v>137</v>
      </c>
      <c r="B30" s="77" t="s">
        <v>14</v>
      </c>
      <c r="C30" s="79">
        <v>31.22</v>
      </c>
      <c r="D30" s="79">
        <v>31.28</v>
      </c>
    </row>
    <row r="31" spans="1:4" x14ac:dyDescent="0.2">
      <c r="A31" s="77" t="s">
        <v>138</v>
      </c>
      <c r="B31" s="77" t="s">
        <v>15</v>
      </c>
      <c r="C31" s="79">
        <v>30.23</v>
      </c>
      <c r="D31" s="79">
        <v>30.34</v>
      </c>
    </row>
    <row r="32" spans="1:4" x14ac:dyDescent="0.2">
      <c r="A32" s="77" t="s">
        <v>139</v>
      </c>
      <c r="B32" s="77" t="s">
        <v>16</v>
      </c>
      <c r="C32" s="79">
        <v>29.28</v>
      </c>
      <c r="D32" s="79">
        <v>29.41</v>
      </c>
    </row>
    <row r="33" spans="1:4" x14ac:dyDescent="0.2">
      <c r="A33" s="77" t="s">
        <v>140</v>
      </c>
      <c r="B33" s="77" t="s">
        <v>17</v>
      </c>
      <c r="C33" s="79">
        <v>28.37</v>
      </c>
      <c r="D33" s="79">
        <v>28.54</v>
      </c>
    </row>
    <row r="34" spans="1:4" x14ac:dyDescent="0.2">
      <c r="A34" s="77" t="s">
        <v>141</v>
      </c>
      <c r="B34" s="77" t="s">
        <v>18</v>
      </c>
      <c r="C34" s="79">
        <v>26.98</v>
      </c>
      <c r="D34" s="79">
        <v>27.19</v>
      </c>
    </row>
    <row r="35" spans="1:4" x14ac:dyDescent="0.2">
      <c r="A35" s="77" t="s">
        <v>142</v>
      </c>
      <c r="B35" s="77" t="s">
        <v>19</v>
      </c>
      <c r="C35" s="79">
        <v>25.94</v>
      </c>
      <c r="D35" s="79">
        <v>26.19</v>
      </c>
    </row>
    <row r="36" spans="1:4" x14ac:dyDescent="0.2">
      <c r="A36" s="77" t="s">
        <v>143</v>
      </c>
      <c r="B36" s="77" t="s">
        <v>20</v>
      </c>
      <c r="C36" s="79">
        <v>25.44</v>
      </c>
      <c r="D36" s="79">
        <v>25.71</v>
      </c>
    </row>
    <row r="37" spans="1:4" x14ac:dyDescent="0.2">
      <c r="A37" s="77" t="s">
        <v>144</v>
      </c>
      <c r="B37" s="77" t="s">
        <v>31</v>
      </c>
      <c r="C37" s="79">
        <v>28.66</v>
      </c>
      <c r="D37" s="79">
        <v>28.66</v>
      </c>
    </row>
    <row r="38" spans="1:4" x14ac:dyDescent="0.2">
      <c r="A38" s="77" t="s">
        <v>145</v>
      </c>
      <c r="B38" s="77" t="s">
        <v>21</v>
      </c>
      <c r="C38" s="79">
        <v>27.79</v>
      </c>
      <c r="D38" s="79">
        <v>27.97</v>
      </c>
    </row>
    <row r="39" spans="1:4" x14ac:dyDescent="0.2">
      <c r="A39" s="77" t="s">
        <v>146</v>
      </c>
      <c r="B39" s="77" t="s">
        <v>22</v>
      </c>
      <c r="C39" s="79">
        <v>26.75</v>
      </c>
      <c r="D39" s="79">
        <v>26.98</v>
      </c>
    </row>
    <row r="40" spans="1:4" x14ac:dyDescent="0.2">
      <c r="A40" s="77" t="s">
        <v>147</v>
      </c>
      <c r="B40" s="77" t="s">
        <v>23</v>
      </c>
      <c r="C40" s="79">
        <v>25.76</v>
      </c>
      <c r="D40" s="79">
        <v>26.02</v>
      </c>
    </row>
    <row r="41" spans="1:4" x14ac:dyDescent="0.2">
      <c r="A41" s="77" t="s">
        <v>148</v>
      </c>
      <c r="B41" s="77" t="s">
        <v>24</v>
      </c>
      <c r="C41" s="79">
        <v>24.67</v>
      </c>
      <c r="D41" s="79">
        <v>24.96</v>
      </c>
    </row>
    <row r="42" spans="1:4" x14ac:dyDescent="0.2">
      <c r="A42" s="77" t="s">
        <v>149</v>
      </c>
      <c r="B42" s="77" t="s">
        <v>25</v>
      </c>
      <c r="C42" s="79">
        <v>23.62</v>
      </c>
      <c r="D42" s="79">
        <v>23.95</v>
      </c>
    </row>
    <row r="43" spans="1:4" x14ac:dyDescent="0.2">
      <c r="A43" s="77" t="s">
        <v>150</v>
      </c>
      <c r="B43" s="77" t="s">
        <v>26</v>
      </c>
      <c r="C43" s="79">
        <v>22.22</v>
      </c>
      <c r="D43" s="79">
        <v>22.59</v>
      </c>
    </row>
    <row r="44" spans="1:4" ht="56.25" x14ac:dyDescent="0.2">
      <c r="A44" s="80" t="s">
        <v>151</v>
      </c>
      <c r="B44" s="81"/>
      <c r="C44" s="82"/>
      <c r="D44" s="82"/>
    </row>
  </sheetData>
  <mergeCells count="3">
    <mergeCell ref="A1:D1"/>
    <mergeCell ref="A3:D3"/>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B315-9107-4CC7-A73C-6AA52C5354C0}">
  <sheetPr codeName="Foglio2"/>
  <dimension ref="A1:O39"/>
  <sheetViews>
    <sheetView topLeftCell="A3" zoomScaleNormal="100" workbookViewId="0">
      <selection activeCell="F13" sqref="F13"/>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0.28515625" style="6" customWidth="1"/>
    <col min="8" max="8" width="9.7109375" style="6" bestFit="1" customWidth="1"/>
    <col min="9" max="9" width="10.85546875" style="6" customWidth="1"/>
    <col min="10" max="10" width="10.7109375" style="6" customWidth="1"/>
    <col min="11" max="11" width="12" style="6" customWidth="1"/>
    <col min="12" max="13" width="10.7109375" style="6" customWidth="1"/>
    <col min="14" max="14" width="6.28515625" style="6" customWidth="1"/>
    <col min="15" max="15" width="9.140625" style="6"/>
    <col min="16" max="16384" width="9.140625" style="9"/>
  </cols>
  <sheetData>
    <row r="1" spans="1:15" ht="15.75" x14ac:dyDescent="0.2">
      <c r="B1" s="8"/>
    </row>
    <row r="2" spans="1:15" ht="18.75" x14ac:dyDescent="0.2">
      <c r="A2" s="2" t="s">
        <v>88</v>
      </c>
    </row>
    <row r="3" spans="1:15" x14ac:dyDescent="0.2">
      <c r="A3" s="10" t="s">
        <v>94</v>
      </c>
      <c r="B3" s="10"/>
      <c r="C3" s="10"/>
      <c r="D3" s="10"/>
    </row>
    <row r="4" spans="1:15" ht="13.5" thickBot="1" x14ac:dyDescent="0.25">
      <c r="A4" s="11"/>
    </row>
    <row r="5" spans="1:15" s="14" customFormat="1" ht="64.5" thickBot="1" x14ac:dyDescent="0.25">
      <c r="A5" s="12" t="s">
        <v>27</v>
      </c>
      <c r="B5" s="32" t="s">
        <v>46</v>
      </c>
      <c r="C5" s="7" t="s">
        <v>33</v>
      </c>
      <c r="D5" s="7" t="s">
        <v>36</v>
      </c>
      <c r="E5" s="7" t="s">
        <v>35</v>
      </c>
      <c r="F5" s="7" t="s">
        <v>42</v>
      </c>
      <c r="G5" s="7" t="s">
        <v>41</v>
      </c>
      <c r="H5" s="7" t="s">
        <v>34</v>
      </c>
      <c r="I5" s="7" t="s">
        <v>32</v>
      </c>
      <c r="J5" s="7" t="s">
        <v>37</v>
      </c>
      <c r="K5" s="7" t="s">
        <v>38</v>
      </c>
      <c r="L5" s="7" t="s">
        <v>39</v>
      </c>
      <c r="M5" s="13" t="s">
        <v>40</v>
      </c>
      <c r="N5" s="12" t="s">
        <v>27</v>
      </c>
      <c r="O5" s="25"/>
    </row>
    <row r="6" spans="1:15" x14ac:dyDescent="0.2">
      <c r="A6" s="26" t="s">
        <v>43</v>
      </c>
      <c r="B6" s="15">
        <f>VLOOKUP('2019'!$A6,'CCNL Economico 2022'!$A$7:$C$38,3,FALSE)</f>
        <v>37277.120000000003</v>
      </c>
      <c r="C6" s="34">
        <f t="shared" ref="C6:C36" si="0">B6-E6</f>
        <v>30458.890000000003</v>
      </c>
      <c r="D6" s="3">
        <v>3099</v>
      </c>
      <c r="E6" s="3">
        <f>6818.23</f>
        <v>6818.23</v>
      </c>
      <c r="F6" s="3">
        <f>VLOOKUP($A6,'CCNL Economico 2022'!$Q$7:$S$37,2,FALSE)</f>
        <v>3729.17</v>
      </c>
      <c r="G6" s="3">
        <f>VLOOKUP($A6,'CCNL Economico 2022'!$A$7:$E$38,5,FALSE)</f>
        <v>0</v>
      </c>
      <c r="H6" s="3">
        <f>ROUND((B6)/12,2)</f>
        <v>3106.43</v>
      </c>
      <c r="I6" s="3">
        <f>B6+D6+G6+H6+F6</f>
        <v>47211.72</v>
      </c>
      <c r="J6" s="3">
        <f t="shared" ref="J6:J13" si="1">ROUND((C6)*34.24%+D6*24.2%,2)+ROUND((F6*29.88%+H6*29.88%+E6*29.88%),2)</f>
        <v>15258.84</v>
      </c>
      <c r="K6" s="3">
        <f>ROUND(I6*8.5%,0)</f>
        <v>4013</v>
      </c>
      <c r="L6" s="3">
        <f>I6+J6+K6</f>
        <v>66483.56</v>
      </c>
      <c r="M6" s="22">
        <f>J6+K6</f>
        <v>19271.84</v>
      </c>
      <c r="N6" s="15" t="str">
        <f>A6</f>
        <v>EP8</v>
      </c>
    </row>
    <row r="7" spans="1:15" x14ac:dyDescent="0.2">
      <c r="A7" s="27" t="s">
        <v>0</v>
      </c>
      <c r="B7" s="16">
        <f>VLOOKUP('2019'!$A7,'CCNL Economico 2022'!$A$7:$C$38,3,FALSE)</f>
        <v>36177.120000000003</v>
      </c>
      <c r="C7" s="33">
        <f>B7-E7</f>
        <v>29358.890000000003</v>
      </c>
      <c r="D7" s="4">
        <v>3099</v>
      </c>
      <c r="E7" s="4">
        <f>6818.23</f>
        <v>6818.23</v>
      </c>
      <c r="F7" s="4">
        <f>VLOOKUP($A7,'CCNL Economico 2022'!$Q$7:$S$37,2,FALSE)</f>
        <v>3729.17</v>
      </c>
      <c r="G7" s="4">
        <f>VLOOKUP($A7,'CCNL Economico 2022'!$A$7:$E$38,5,FALSE)</f>
        <v>0</v>
      </c>
      <c r="H7" s="4">
        <f>ROUND((B7)/12,2)</f>
        <v>3014.76</v>
      </c>
      <c r="I7" s="4">
        <f>B7+D7+G7+H7+F7</f>
        <v>46020.05</v>
      </c>
      <c r="J7" s="4">
        <f t="shared" si="1"/>
        <v>14854.810000000001</v>
      </c>
      <c r="K7" s="4">
        <f>ROUND(I7*8.5%,0)</f>
        <v>3912</v>
      </c>
      <c r="L7" s="4">
        <f>I7+J7+K7</f>
        <v>64786.86</v>
      </c>
      <c r="M7" s="23">
        <f>J7+K7</f>
        <v>18766.810000000001</v>
      </c>
      <c r="N7" s="16" t="str">
        <f>A7</f>
        <v>EP7</v>
      </c>
    </row>
    <row r="8" spans="1:15" x14ac:dyDescent="0.2">
      <c r="A8" s="28" t="s">
        <v>1</v>
      </c>
      <c r="B8" s="16">
        <f>VLOOKUP('2019'!$A8,'CCNL Economico 2022'!$A$7:$C$38,3,FALSE)</f>
        <v>34767.75</v>
      </c>
      <c r="C8" s="33">
        <f t="shared" si="0"/>
        <v>27949.52</v>
      </c>
      <c r="D8" s="4">
        <v>3099</v>
      </c>
      <c r="E8" s="4">
        <f>6818.23</f>
        <v>6818.23</v>
      </c>
      <c r="F8" s="4">
        <f>VLOOKUP($A8,'CCNL Economico 2022'!$Q$7:$S$37,2,FALSE)</f>
        <v>3729.17</v>
      </c>
      <c r="G8" s="4">
        <f>VLOOKUP($A8,'CCNL Economico 2022'!$A$7:$E$38,5,FALSE)</f>
        <v>0</v>
      </c>
      <c r="H8" s="4">
        <f t="shared" ref="H8:H36" si="2">ROUND((B8)/12,2)</f>
        <v>2897.31</v>
      </c>
      <c r="I8" s="4">
        <f t="shared" ref="I8:I36" si="3">B8+D8+G8+H8+F8</f>
        <v>44493.229999999996</v>
      </c>
      <c r="J8" s="4">
        <f t="shared" si="1"/>
        <v>14337.150000000001</v>
      </c>
      <c r="K8" s="4">
        <f>ROUND(I8*8.5%,0)</f>
        <v>3782</v>
      </c>
      <c r="L8" s="4">
        <f>I8+J8+K8</f>
        <v>62612.38</v>
      </c>
      <c r="M8" s="23">
        <f>J8+K8</f>
        <v>18119.150000000001</v>
      </c>
      <c r="N8" s="16" t="str">
        <f>A8</f>
        <v>EP6</v>
      </c>
    </row>
    <row r="9" spans="1:15" x14ac:dyDescent="0.2">
      <c r="A9" s="28" t="s">
        <v>2</v>
      </c>
      <c r="B9" s="16">
        <f>VLOOKUP('2019'!$A9,'CCNL Economico 2022'!$A$7:$C$38,3,FALSE)</f>
        <v>33417.85</v>
      </c>
      <c r="C9" s="33">
        <f t="shared" si="0"/>
        <v>26599.62</v>
      </c>
      <c r="D9" s="4">
        <v>3099</v>
      </c>
      <c r="E9" s="4">
        <f>6818.23</f>
        <v>6818.23</v>
      </c>
      <c r="F9" s="4">
        <f>VLOOKUP($A9,'CCNL Economico 2022'!$Q$7:$S$37,2,FALSE)</f>
        <v>3729.17</v>
      </c>
      <c r="G9" s="4">
        <f>VLOOKUP($A9,'CCNL Economico 2022'!$A$7:$E$38,5,FALSE)</f>
        <v>0</v>
      </c>
      <c r="H9" s="4">
        <f t="shared" si="2"/>
        <v>2784.82</v>
      </c>
      <c r="I9" s="4">
        <f t="shared" si="3"/>
        <v>43030.84</v>
      </c>
      <c r="J9" s="4">
        <f t="shared" si="1"/>
        <v>13841.34</v>
      </c>
      <c r="K9" s="4">
        <f t="shared" ref="K9:K36" si="4">ROUND(I9*8.5%,0)</f>
        <v>3658</v>
      </c>
      <c r="L9" s="4">
        <f t="shared" ref="L9:L36" si="5">I9+J9+K9</f>
        <v>60530.179999999993</v>
      </c>
      <c r="M9" s="23">
        <f t="shared" ref="M9:M36" si="6">J9+K9</f>
        <v>17499.34</v>
      </c>
      <c r="N9" s="16" t="s">
        <v>2</v>
      </c>
    </row>
    <row r="10" spans="1:15" x14ac:dyDescent="0.2">
      <c r="A10" s="27" t="s">
        <v>3</v>
      </c>
      <c r="B10" s="16">
        <f>VLOOKUP('2019'!$A10,'CCNL Economico 2022'!$A$7:$C$38,3,FALSE)</f>
        <v>31961.47</v>
      </c>
      <c r="C10" s="33">
        <f t="shared" si="0"/>
        <v>25143.24</v>
      </c>
      <c r="D10" s="4">
        <v>3099</v>
      </c>
      <c r="E10" s="4">
        <f>6818.23</f>
        <v>6818.23</v>
      </c>
      <c r="F10" s="4">
        <f>VLOOKUP($A10,'CCNL Economico 2022'!$Q$7:$S$37,2,FALSE)</f>
        <v>3729.17</v>
      </c>
      <c r="G10" s="4">
        <f>VLOOKUP($A10,'CCNL Economico 2022'!$A$7:$E$38,5,FALSE)</f>
        <v>0</v>
      </c>
      <c r="H10" s="4">
        <f t="shared" si="2"/>
        <v>2663.46</v>
      </c>
      <c r="I10" s="4">
        <f t="shared" si="3"/>
        <v>41453.1</v>
      </c>
      <c r="J10" s="4">
        <f t="shared" si="1"/>
        <v>13306.4</v>
      </c>
      <c r="K10" s="4">
        <f t="shared" si="4"/>
        <v>3524</v>
      </c>
      <c r="L10" s="4">
        <f t="shared" si="5"/>
        <v>58283.5</v>
      </c>
      <c r="M10" s="23">
        <f t="shared" si="6"/>
        <v>16830.400000000001</v>
      </c>
      <c r="N10" s="16" t="s">
        <v>3</v>
      </c>
    </row>
    <row r="11" spans="1:15" x14ac:dyDescent="0.2">
      <c r="A11" s="28" t="s">
        <v>4</v>
      </c>
      <c r="B11" s="16">
        <f>VLOOKUP('2019'!$A11,'CCNL Economico 2022'!$A$7:$C$38,3,FALSE)</f>
        <v>29577.58</v>
      </c>
      <c r="C11" s="33">
        <f t="shared" si="0"/>
        <v>22895.32</v>
      </c>
      <c r="D11" s="4">
        <v>3099</v>
      </c>
      <c r="E11" s="4">
        <f>6682.26</f>
        <v>6682.26</v>
      </c>
      <c r="F11" s="4">
        <f>VLOOKUP($A11,'CCNL Economico 2022'!$Q$7:$S$37,2,FALSE)</f>
        <v>2816.8</v>
      </c>
      <c r="G11" s="4">
        <f>VLOOKUP($A11,'CCNL Economico 2022'!$A$7:$E$38,5,FALSE)</f>
        <v>0</v>
      </c>
      <c r="H11" s="4">
        <f t="shared" si="2"/>
        <v>2464.8000000000002</v>
      </c>
      <c r="I11" s="4">
        <f t="shared" si="3"/>
        <v>37958.180000000008</v>
      </c>
      <c r="J11" s="4">
        <f t="shared" si="1"/>
        <v>12164.119999999999</v>
      </c>
      <c r="K11" s="4">
        <f t="shared" si="4"/>
        <v>3226</v>
      </c>
      <c r="L11" s="4">
        <f t="shared" si="5"/>
        <v>53348.3</v>
      </c>
      <c r="M11" s="23">
        <f t="shared" si="6"/>
        <v>15390.119999999999</v>
      </c>
      <c r="N11" s="16" t="s">
        <v>4</v>
      </c>
    </row>
    <row r="12" spans="1:15" x14ac:dyDescent="0.2">
      <c r="A12" s="28" t="s">
        <v>5</v>
      </c>
      <c r="B12" s="16">
        <f>VLOOKUP('2019'!$A12,'CCNL Economico 2022'!$A$7:$C$38,3,FALSE)</f>
        <v>27962.240000000002</v>
      </c>
      <c r="C12" s="33">
        <f t="shared" si="0"/>
        <v>21279.980000000003</v>
      </c>
      <c r="D12" s="4">
        <v>3099</v>
      </c>
      <c r="E12" s="4">
        <f>6682.26</f>
        <v>6682.26</v>
      </c>
      <c r="F12" s="4">
        <f>VLOOKUP($A12,'CCNL Economico 2022'!$Q$7:$S$37,2,FALSE)</f>
        <v>2816.8</v>
      </c>
      <c r="G12" s="4">
        <f>VLOOKUP($A12,'CCNL Economico 2022'!$A$7:$E$38,5,FALSE)</f>
        <v>0</v>
      </c>
      <c r="H12" s="4">
        <f t="shared" si="2"/>
        <v>2330.19</v>
      </c>
      <c r="I12" s="4">
        <f t="shared" si="3"/>
        <v>36208.230000000003</v>
      </c>
      <c r="J12" s="4">
        <f t="shared" si="1"/>
        <v>11570.8</v>
      </c>
      <c r="K12" s="4">
        <f t="shared" si="4"/>
        <v>3078</v>
      </c>
      <c r="L12" s="4">
        <f t="shared" si="5"/>
        <v>50857.03</v>
      </c>
      <c r="M12" s="23">
        <f t="shared" si="6"/>
        <v>14648.8</v>
      </c>
      <c r="N12" s="16" t="s">
        <v>5</v>
      </c>
    </row>
    <row r="13" spans="1:15" ht="13.5" thickBot="1" x14ac:dyDescent="0.25">
      <c r="A13" s="29" t="s">
        <v>6</v>
      </c>
      <c r="B13" s="36">
        <f>VLOOKUP('2019'!$A13,'CCNL Economico 2022'!$A$7:$C$38,3,FALSE)</f>
        <v>26258.85</v>
      </c>
      <c r="C13" s="35">
        <f t="shared" si="0"/>
        <v>19576.589999999997</v>
      </c>
      <c r="D13" s="5">
        <v>3099</v>
      </c>
      <c r="E13" s="5">
        <f>6682.26</f>
        <v>6682.26</v>
      </c>
      <c r="F13" s="5">
        <f>VLOOKUP($A13,'CCNL Economico 2022'!$Q$7:$S$37,2,FALSE)</f>
        <v>2816.8</v>
      </c>
      <c r="G13" s="5">
        <f>VLOOKUP($A13,'CCNL Economico 2022'!$A$7:$E$38,5,FALSE)</f>
        <v>0</v>
      </c>
      <c r="H13" s="5">
        <f t="shared" si="2"/>
        <v>2188.2399999999998</v>
      </c>
      <c r="I13" s="5">
        <f t="shared" si="3"/>
        <v>34362.89</v>
      </c>
      <c r="J13" s="5">
        <f t="shared" si="1"/>
        <v>10945.15</v>
      </c>
      <c r="K13" s="5">
        <f t="shared" si="4"/>
        <v>2921</v>
      </c>
      <c r="L13" s="5">
        <f t="shared" si="5"/>
        <v>48229.04</v>
      </c>
      <c r="M13" s="24">
        <f t="shared" si="6"/>
        <v>13866.15</v>
      </c>
      <c r="N13" s="17" t="s">
        <v>6</v>
      </c>
    </row>
    <row r="14" spans="1:15" x14ac:dyDescent="0.2">
      <c r="A14" s="26" t="s">
        <v>44</v>
      </c>
      <c r="B14" s="15">
        <f>VLOOKUP('2019'!$A14,'CCNL Economico 2022'!$A$7:$C$38,3,FALSE)</f>
        <v>30513.66</v>
      </c>
      <c r="C14" s="34">
        <f t="shared" si="0"/>
        <v>23968.42</v>
      </c>
      <c r="D14" s="3"/>
      <c r="E14" s="3">
        <f>6545.24</f>
        <v>6545.24</v>
      </c>
      <c r="F14" s="3">
        <f>VLOOKUP($A14,'CCNL Economico 2022'!$Q$7:$S$37,2,FALSE)</f>
        <v>2350.06</v>
      </c>
      <c r="G14" s="3">
        <f>VLOOKUP($A14,'CCNL Economico 2022'!$A$7:$E$38,5,FALSE)</f>
        <v>0</v>
      </c>
      <c r="H14" s="3">
        <f t="shared" si="2"/>
        <v>2542.81</v>
      </c>
      <c r="I14" s="3">
        <f t="shared" si="3"/>
        <v>35406.53</v>
      </c>
      <c r="J14" s="3">
        <f>+I14*29.88%</f>
        <v>10579.471164</v>
      </c>
      <c r="K14" s="3">
        <f>ROUND(I14*8.5%,0)</f>
        <v>3010</v>
      </c>
      <c r="L14" s="3">
        <f>I14+J14+K14</f>
        <v>48996.001164000001</v>
      </c>
      <c r="M14" s="22">
        <f>J14+K14</f>
        <v>13589.471164</v>
      </c>
      <c r="N14" s="19" t="str">
        <f>A14</f>
        <v>D8</v>
      </c>
    </row>
    <row r="15" spans="1:15" x14ac:dyDescent="0.2">
      <c r="A15" s="27" t="s">
        <v>7</v>
      </c>
      <c r="B15" s="16">
        <f>VLOOKUP('2019'!$A15,'CCNL Economico 2022'!$A$7:$C$38,3,FALSE)</f>
        <v>29613.66</v>
      </c>
      <c r="C15" s="33">
        <f>B15-E15</f>
        <v>23068.42</v>
      </c>
      <c r="D15" s="4"/>
      <c r="E15" s="4">
        <f t="shared" ref="E15:E21" si="7">6545.24</f>
        <v>6545.24</v>
      </c>
      <c r="F15" s="4">
        <f>VLOOKUP($A15,'CCNL Economico 2022'!$Q$7:$S$37,2,FALSE)</f>
        <v>2350.06</v>
      </c>
      <c r="G15" s="4">
        <f>VLOOKUP($A15,'CCNL Economico 2022'!$A$7:$E$38,5,FALSE)</f>
        <v>0</v>
      </c>
      <c r="H15" s="4">
        <f>ROUND((B15)/12,2)</f>
        <v>2467.81</v>
      </c>
      <c r="I15" s="4">
        <f>B15+D15+G15+H15+F15</f>
        <v>34431.53</v>
      </c>
      <c r="J15" s="4">
        <f t="shared" ref="J15:J19" si="8">+I15*29.88%</f>
        <v>10288.141164000001</v>
      </c>
      <c r="K15" s="4">
        <f>ROUND(I15*8.5%,0)</f>
        <v>2927</v>
      </c>
      <c r="L15" s="4">
        <f>I15+J15+K15</f>
        <v>47646.671163999999</v>
      </c>
      <c r="M15" s="23">
        <f>J15+K15</f>
        <v>13215.141164000001</v>
      </c>
      <c r="N15" s="20" t="str">
        <f>A15</f>
        <v>D7</v>
      </c>
    </row>
    <row r="16" spans="1:15" x14ac:dyDescent="0.2">
      <c r="A16" s="28" t="s">
        <v>8</v>
      </c>
      <c r="B16" s="16">
        <f>VLOOKUP('2019'!$A16,'CCNL Economico 2022'!$A$7:$C$38,3,FALSE)</f>
        <v>28557.279999999999</v>
      </c>
      <c r="C16" s="33">
        <f t="shared" si="0"/>
        <v>22012.04</v>
      </c>
      <c r="D16" s="4"/>
      <c r="E16" s="4">
        <f t="shared" si="7"/>
        <v>6545.24</v>
      </c>
      <c r="F16" s="4">
        <f>VLOOKUP($A16,'CCNL Economico 2022'!$Q$7:$S$37,2,FALSE)</f>
        <v>2350.06</v>
      </c>
      <c r="G16" s="4">
        <f>VLOOKUP($A16,'CCNL Economico 2022'!$A$7:$E$38,5,FALSE)</f>
        <v>0</v>
      </c>
      <c r="H16" s="4">
        <f t="shared" si="2"/>
        <v>2379.77</v>
      </c>
      <c r="I16" s="4">
        <f t="shared" si="3"/>
        <v>33287.11</v>
      </c>
      <c r="J16" s="4">
        <f t="shared" si="8"/>
        <v>9946.1884680000003</v>
      </c>
      <c r="K16" s="4">
        <f>ROUND(I16*8.5%,0)</f>
        <v>2829</v>
      </c>
      <c r="L16" s="4">
        <f>I16+J16+K16</f>
        <v>46062.298468000001</v>
      </c>
      <c r="M16" s="23">
        <f>J16+K16</f>
        <v>12775.188468</v>
      </c>
      <c r="N16" s="20" t="str">
        <f>A16</f>
        <v>D6</v>
      </c>
    </row>
    <row r="17" spans="1:14" x14ac:dyDescent="0.2">
      <c r="A17" s="28" t="s">
        <v>9</v>
      </c>
      <c r="B17" s="16">
        <f>VLOOKUP('2019'!$A17,'CCNL Economico 2022'!$A$7:$C$38,3,FALSE)</f>
        <v>27543.3</v>
      </c>
      <c r="C17" s="33">
        <f t="shared" si="0"/>
        <v>20998.059999999998</v>
      </c>
      <c r="D17" s="4"/>
      <c r="E17" s="4">
        <f t="shared" si="7"/>
        <v>6545.24</v>
      </c>
      <c r="F17" s="4">
        <f>VLOOKUP($A17,'CCNL Economico 2022'!$Q$7:$S$37,2,FALSE)</f>
        <v>2350.06</v>
      </c>
      <c r="G17" s="4">
        <f>VLOOKUP($A17,'CCNL Economico 2022'!$A$7:$E$38,5,FALSE)</f>
        <v>0</v>
      </c>
      <c r="H17" s="4">
        <f t="shared" si="2"/>
        <v>2295.2800000000002</v>
      </c>
      <c r="I17" s="4">
        <f t="shared" si="3"/>
        <v>32188.639999999999</v>
      </c>
      <c r="J17" s="4">
        <f t="shared" si="8"/>
        <v>9617.9656319999995</v>
      </c>
      <c r="K17" s="4">
        <f t="shared" si="4"/>
        <v>2736</v>
      </c>
      <c r="L17" s="4">
        <f t="shared" si="5"/>
        <v>44542.605631999999</v>
      </c>
      <c r="M17" s="23">
        <f t="shared" si="6"/>
        <v>12353.965631999999</v>
      </c>
      <c r="N17" s="20" t="s">
        <v>9</v>
      </c>
    </row>
    <row r="18" spans="1:14" x14ac:dyDescent="0.2">
      <c r="A18" s="28" t="s">
        <v>10</v>
      </c>
      <c r="B18" s="16">
        <f>VLOOKUP('2019'!$A18,'CCNL Economico 2022'!$A$7:$C$38,3,FALSE)</f>
        <v>26575.08</v>
      </c>
      <c r="C18" s="33">
        <f t="shared" si="0"/>
        <v>20029.840000000004</v>
      </c>
      <c r="D18" s="4"/>
      <c r="E18" s="4">
        <f t="shared" si="7"/>
        <v>6545.24</v>
      </c>
      <c r="F18" s="4">
        <f>VLOOKUP($A18,'CCNL Economico 2022'!$Q$7:$S$37,2,FALSE)</f>
        <v>2350.06</v>
      </c>
      <c r="G18" s="4">
        <f>VLOOKUP($A18,'CCNL Economico 2022'!$A$7:$E$38,5,FALSE)</f>
        <v>0</v>
      </c>
      <c r="H18" s="4">
        <f t="shared" si="2"/>
        <v>2214.59</v>
      </c>
      <c r="I18" s="4">
        <f t="shared" si="3"/>
        <v>31139.730000000003</v>
      </c>
      <c r="J18" s="4">
        <f t="shared" si="8"/>
        <v>9304.5513240000018</v>
      </c>
      <c r="K18" s="4">
        <f t="shared" si="4"/>
        <v>2647</v>
      </c>
      <c r="L18" s="4">
        <f t="shared" si="5"/>
        <v>43091.281324000003</v>
      </c>
      <c r="M18" s="23">
        <f t="shared" si="6"/>
        <v>11951.551324000002</v>
      </c>
      <c r="N18" s="20" t="s">
        <v>10</v>
      </c>
    </row>
    <row r="19" spans="1:14" s="6" customFormat="1" x14ac:dyDescent="0.2">
      <c r="A19" s="28" t="s">
        <v>11</v>
      </c>
      <c r="B19" s="16">
        <f>VLOOKUP('2019'!$A19,'CCNL Economico 2022'!$A$7:$C$38,3,FALSE)</f>
        <v>25263.53</v>
      </c>
      <c r="C19" s="33">
        <f t="shared" si="0"/>
        <v>18718.29</v>
      </c>
      <c r="D19" s="4"/>
      <c r="E19" s="4">
        <f t="shared" si="7"/>
        <v>6545.24</v>
      </c>
      <c r="F19" s="4">
        <f>VLOOKUP($A19,'CCNL Economico 2022'!$Q$7:$S$37,2,FALSE)</f>
        <v>2350.06</v>
      </c>
      <c r="G19" s="4">
        <f>VLOOKUP($A19,'CCNL Economico 2022'!$A$7:$E$38,5,FALSE)</f>
        <v>0</v>
      </c>
      <c r="H19" s="4">
        <f t="shared" si="2"/>
        <v>2105.29</v>
      </c>
      <c r="I19" s="4">
        <f t="shared" si="3"/>
        <v>29718.880000000001</v>
      </c>
      <c r="J19" s="4">
        <f t="shared" si="8"/>
        <v>8880.0013440000002</v>
      </c>
      <c r="K19" s="4">
        <f t="shared" si="4"/>
        <v>2526</v>
      </c>
      <c r="L19" s="4">
        <f t="shared" si="5"/>
        <v>41124.881344000001</v>
      </c>
      <c r="M19" s="23">
        <f t="shared" si="6"/>
        <v>11406.001344</v>
      </c>
      <c r="N19" s="20" t="s">
        <v>11</v>
      </c>
    </row>
    <row r="20" spans="1:14" s="6" customFormat="1" x14ac:dyDescent="0.2">
      <c r="A20" s="28" t="s">
        <v>12</v>
      </c>
      <c r="B20" s="16">
        <f>VLOOKUP('2019'!$A20,'CCNL Economico 2022'!$A$7:$C$38,3,FALSE)</f>
        <v>24188.560000000001</v>
      </c>
      <c r="C20" s="33">
        <f t="shared" si="0"/>
        <v>17643.32</v>
      </c>
      <c r="D20" s="4"/>
      <c r="E20" s="4">
        <f t="shared" si="7"/>
        <v>6545.24</v>
      </c>
      <c r="F20" s="4">
        <f>VLOOKUP($A20,'CCNL Economico 2022'!$Q$7:$S$37,2,FALSE)</f>
        <v>2350.06</v>
      </c>
      <c r="G20" s="4">
        <f>VLOOKUP($A20,'CCNL Economico 2022'!$A$7:$E$38,5,FALSE)</f>
        <v>84</v>
      </c>
      <c r="H20" s="4">
        <f t="shared" si="2"/>
        <v>2015.71</v>
      </c>
      <c r="I20" s="4">
        <f t="shared" si="3"/>
        <v>28638.33</v>
      </c>
      <c r="J20" s="4">
        <f>+(+I20-G20)*29.88%+G20*24.2%</f>
        <v>8552.3618040000001</v>
      </c>
      <c r="K20" s="4">
        <f t="shared" si="4"/>
        <v>2434</v>
      </c>
      <c r="L20" s="4">
        <f t="shared" si="5"/>
        <v>39624.691804000002</v>
      </c>
      <c r="M20" s="23">
        <f t="shared" si="6"/>
        <v>10986.361804</v>
      </c>
      <c r="N20" s="20" t="s">
        <v>12</v>
      </c>
    </row>
    <row r="21" spans="1:14" s="6" customFormat="1" ht="13.5" thickBot="1" x14ac:dyDescent="0.25">
      <c r="A21" s="29" t="s">
        <v>13</v>
      </c>
      <c r="B21" s="36">
        <f>VLOOKUP('2019'!$A21,'CCNL Economico 2022'!$A$7:$C$38,3,FALSE)</f>
        <v>23258.43</v>
      </c>
      <c r="C21" s="35">
        <f t="shared" si="0"/>
        <v>16713.190000000002</v>
      </c>
      <c r="D21" s="5"/>
      <c r="E21" s="5">
        <f t="shared" si="7"/>
        <v>6545.24</v>
      </c>
      <c r="F21" s="5">
        <f>VLOOKUP($A21,'CCNL Economico 2022'!$Q$7:$S$37,2,FALSE)</f>
        <v>2350.06</v>
      </c>
      <c r="G21" s="5">
        <f>VLOOKUP($A21,'CCNL Economico 2022'!$A$7:$E$38,5,FALSE)</f>
        <v>108</v>
      </c>
      <c r="H21" s="5">
        <f t="shared" si="2"/>
        <v>1938.2</v>
      </c>
      <c r="I21" s="5">
        <f t="shared" si="3"/>
        <v>27654.690000000002</v>
      </c>
      <c r="J21" s="5">
        <f t="shared" ref="J21:J36" si="9">+(+I21-G21)*29.88%+G21*24.2%</f>
        <v>8257.086972000001</v>
      </c>
      <c r="K21" s="5">
        <f t="shared" si="4"/>
        <v>2351</v>
      </c>
      <c r="L21" s="5">
        <f t="shared" si="5"/>
        <v>38262.776972000007</v>
      </c>
      <c r="M21" s="24">
        <f t="shared" si="6"/>
        <v>10608.086972000001</v>
      </c>
      <c r="N21" s="21" t="s">
        <v>13</v>
      </c>
    </row>
    <row r="22" spans="1:14" s="6" customFormat="1" x14ac:dyDescent="0.2">
      <c r="A22" s="26" t="s">
        <v>45</v>
      </c>
      <c r="B22" s="15">
        <f>VLOOKUP('2019'!$A22,'CCNL Economico 2022'!$A$7:$C$38,3,FALSE)</f>
        <v>25301.66</v>
      </c>
      <c r="C22" s="34">
        <f t="shared" si="0"/>
        <v>18851.580000000002</v>
      </c>
      <c r="D22" s="3"/>
      <c r="E22" s="3">
        <f>6450.08</f>
        <v>6450.08</v>
      </c>
      <c r="F22" s="3">
        <f>VLOOKUP($A22,'CCNL Economico 2022'!$Q$7:$S$37,2,FALSE)</f>
        <v>1643.57</v>
      </c>
      <c r="G22" s="3">
        <f>VLOOKUP($A22,'CCNL Economico 2022'!$A$7:$E$38,5,FALSE)</f>
        <v>0</v>
      </c>
      <c r="H22" s="3">
        <f t="shared" si="2"/>
        <v>2108.4699999999998</v>
      </c>
      <c r="I22" s="3">
        <f t="shared" si="3"/>
        <v>29053.7</v>
      </c>
      <c r="J22" s="3">
        <f t="shared" si="9"/>
        <v>8681.2455600000012</v>
      </c>
      <c r="K22" s="3">
        <f>ROUND(I22*8.5%,0)</f>
        <v>2470</v>
      </c>
      <c r="L22" s="3">
        <f>I22+J22+K22</f>
        <v>40204.94556</v>
      </c>
      <c r="M22" s="22">
        <f>J22+K22</f>
        <v>11151.245560000001</v>
      </c>
      <c r="N22" s="19" t="str">
        <f>A22</f>
        <v>C8</v>
      </c>
    </row>
    <row r="23" spans="1:14" s="6" customFormat="1" x14ac:dyDescent="0.2">
      <c r="A23" s="27" t="s">
        <v>14</v>
      </c>
      <c r="B23" s="16">
        <f>VLOOKUP('2019'!$A23,'CCNL Economico 2022'!$A$7:$C$38,3,FALSE)</f>
        <v>24501.66</v>
      </c>
      <c r="C23" s="33">
        <f>B23-E23</f>
        <v>18051.580000000002</v>
      </c>
      <c r="D23" s="4"/>
      <c r="E23" s="4">
        <f>6450.08</f>
        <v>6450.08</v>
      </c>
      <c r="F23" s="4">
        <f>VLOOKUP($A23,'CCNL Economico 2022'!$Q$7:$S$37,2,FALSE)</f>
        <v>1643.57</v>
      </c>
      <c r="G23" s="4">
        <f>VLOOKUP($A23,'CCNL Economico 2022'!$A$7:$E$38,5,FALSE)</f>
        <v>60</v>
      </c>
      <c r="H23" s="4">
        <f>ROUND((B23)/12,2)</f>
        <v>2041.81</v>
      </c>
      <c r="I23" s="4">
        <f>B23+D23+G23+H23+F23</f>
        <v>28247.040000000001</v>
      </c>
      <c r="J23" s="4">
        <f t="shared" si="9"/>
        <v>8436.8075520000002</v>
      </c>
      <c r="K23" s="4">
        <f>ROUND(I23*8.5%,0)</f>
        <v>2401</v>
      </c>
      <c r="L23" s="4">
        <f>I23+J23+K23</f>
        <v>39084.847551999999</v>
      </c>
      <c r="M23" s="23">
        <f>J23+K23</f>
        <v>10837.807552</v>
      </c>
      <c r="N23" s="20" t="str">
        <f>A23</f>
        <v>C7</v>
      </c>
    </row>
    <row r="24" spans="1:14" s="6" customFormat="1" x14ac:dyDescent="0.2">
      <c r="A24" s="28" t="s">
        <v>15</v>
      </c>
      <c r="B24" s="16">
        <f>VLOOKUP('2019'!$A24,'CCNL Economico 2022'!$A$7:$C$38,3,FALSE)</f>
        <v>23712.36</v>
      </c>
      <c r="C24" s="33">
        <f t="shared" si="0"/>
        <v>17262.28</v>
      </c>
      <c r="D24" s="4"/>
      <c r="E24" s="4">
        <f>6450.08</f>
        <v>6450.08</v>
      </c>
      <c r="F24" s="4">
        <f>VLOOKUP($A24,'CCNL Economico 2022'!$Q$7:$S$37,2,FALSE)</f>
        <v>1643.57</v>
      </c>
      <c r="G24" s="4">
        <f>VLOOKUP($A24,'CCNL Economico 2022'!$A$7:$E$38,5,FALSE)</f>
        <v>96</v>
      </c>
      <c r="H24" s="4">
        <f t="shared" si="2"/>
        <v>1976.03</v>
      </c>
      <c r="I24" s="4">
        <f t="shared" si="3"/>
        <v>27427.96</v>
      </c>
      <c r="J24" s="4">
        <f t="shared" si="9"/>
        <v>8190.0216479999999</v>
      </c>
      <c r="K24" s="4">
        <f>ROUND(I24*8.5%,0)</f>
        <v>2331</v>
      </c>
      <c r="L24" s="4">
        <f>I24+J24+K24</f>
        <v>37948.981648000001</v>
      </c>
      <c r="M24" s="23">
        <f>J24+K24</f>
        <v>10521.021648</v>
      </c>
      <c r="N24" s="20" t="str">
        <f>A24</f>
        <v>C6</v>
      </c>
    </row>
    <row r="25" spans="1:14" s="6" customFormat="1" x14ac:dyDescent="0.2">
      <c r="A25" s="28" t="s">
        <v>16</v>
      </c>
      <c r="B25" s="16">
        <f>VLOOKUP('2019'!$A25,'CCNL Economico 2022'!$A$7:$C$38,3,FALSE)</f>
        <v>22951.32</v>
      </c>
      <c r="C25" s="33">
        <f t="shared" si="0"/>
        <v>16501.239999999998</v>
      </c>
      <c r="D25" s="4"/>
      <c r="E25" s="4">
        <f>6450.08</f>
        <v>6450.08</v>
      </c>
      <c r="F25" s="4">
        <f>VLOOKUP($A25,'CCNL Economico 2022'!$Q$7:$S$37,2,FALSE)</f>
        <v>1643.57</v>
      </c>
      <c r="G25" s="4">
        <f>VLOOKUP($A25,'CCNL Economico 2022'!$A$7:$E$38,5,FALSE)</f>
        <v>120</v>
      </c>
      <c r="H25" s="4">
        <f t="shared" si="2"/>
        <v>1912.61</v>
      </c>
      <c r="I25" s="4">
        <f t="shared" si="3"/>
        <v>26627.5</v>
      </c>
      <c r="J25" s="4">
        <f t="shared" si="9"/>
        <v>7949.4810000000007</v>
      </c>
      <c r="K25" s="4">
        <f t="shared" si="4"/>
        <v>2263</v>
      </c>
      <c r="L25" s="4">
        <f>I25+J25+K25</f>
        <v>36839.981</v>
      </c>
      <c r="M25" s="23">
        <f t="shared" si="6"/>
        <v>10212.481</v>
      </c>
      <c r="N25" s="20" t="s">
        <v>16</v>
      </c>
    </row>
    <row r="26" spans="1:14" s="6" customFormat="1" x14ac:dyDescent="0.2">
      <c r="A26" s="27" t="s">
        <v>17</v>
      </c>
      <c r="B26" s="16">
        <f>VLOOKUP('2019'!$A26,'CCNL Economico 2022'!$A$7:$C$38,3,FALSE)</f>
        <v>22220.16</v>
      </c>
      <c r="C26" s="33">
        <f t="shared" si="0"/>
        <v>15770.08</v>
      </c>
      <c r="D26" s="4"/>
      <c r="E26" s="4">
        <f>6450.08</f>
        <v>6450.08</v>
      </c>
      <c r="F26" s="4">
        <f>VLOOKUP($A26,'CCNL Economico 2022'!$Q$7:$S$37,2,FALSE)</f>
        <v>1643.57</v>
      </c>
      <c r="G26" s="4">
        <f>VLOOKUP($A26,'CCNL Economico 2022'!$A$7:$E$38,5,FALSE)</f>
        <v>156</v>
      </c>
      <c r="H26" s="4">
        <f t="shared" si="2"/>
        <v>1851.68</v>
      </c>
      <c r="I26" s="4">
        <f t="shared" si="3"/>
        <v>25871.41</v>
      </c>
      <c r="J26" s="4">
        <f t="shared" si="9"/>
        <v>7721.5165080000006</v>
      </c>
      <c r="K26" s="4">
        <f t="shared" si="4"/>
        <v>2199</v>
      </c>
      <c r="L26" s="4">
        <f t="shared" si="5"/>
        <v>35791.926508000004</v>
      </c>
      <c r="M26" s="23">
        <f t="shared" si="6"/>
        <v>9920.5165080000006</v>
      </c>
      <c r="N26" s="20" t="s">
        <v>17</v>
      </c>
    </row>
    <row r="27" spans="1:14" s="6" customFormat="1" x14ac:dyDescent="0.2">
      <c r="A27" s="28" t="s">
        <v>18</v>
      </c>
      <c r="B27" s="16">
        <f>VLOOKUP('2019'!$A27,'CCNL Economico 2022'!$A$7:$C$38,3,FALSE)</f>
        <v>21110.28</v>
      </c>
      <c r="C27" s="33">
        <f t="shared" si="0"/>
        <v>14737.64</v>
      </c>
      <c r="D27" s="4"/>
      <c r="E27" s="4">
        <f>6372.64</f>
        <v>6372.64</v>
      </c>
      <c r="F27" s="4">
        <f>VLOOKUP($A27,'CCNL Economico 2022'!$Q$7:$S$37,2,FALSE)</f>
        <v>1643.57</v>
      </c>
      <c r="G27" s="4">
        <f>VLOOKUP($A27,'CCNL Economico 2022'!$A$7:$E$38,5,FALSE)</f>
        <v>192</v>
      </c>
      <c r="H27" s="4">
        <f t="shared" si="2"/>
        <v>1759.19</v>
      </c>
      <c r="I27" s="4">
        <f t="shared" si="3"/>
        <v>24705.039999999997</v>
      </c>
      <c r="J27" s="4">
        <f t="shared" si="9"/>
        <v>7370.9603519999991</v>
      </c>
      <c r="K27" s="4">
        <f t="shared" si="4"/>
        <v>2100</v>
      </c>
      <c r="L27" s="4">
        <f t="shared" si="5"/>
        <v>34176.000351999995</v>
      </c>
      <c r="M27" s="23">
        <f t="shared" si="6"/>
        <v>9470.9603519999982</v>
      </c>
      <c r="N27" s="20" t="s">
        <v>18</v>
      </c>
    </row>
    <row r="28" spans="1:14" s="6" customFormat="1" x14ac:dyDescent="0.2">
      <c r="A28" s="28" t="s">
        <v>19</v>
      </c>
      <c r="B28" s="16">
        <f>VLOOKUP('2019'!$A28,'CCNL Economico 2022'!$A$7:$C$38,3,FALSE)</f>
        <v>20277.96</v>
      </c>
      <c r="C28" s="33">
        <f t="shared" si="0"/>
        <v>13905.32</v>
      </c>
      <c r="D28" s="4"/>
      <c r="E28" s="4">
        <f>6372.64</f>
        <v>6372.64</v>
      </c>
      <c r="F28" s="4">
        <f>VLOOKUP($A28,'CCNL Economico 2022'!$Q$7:$S$37,2,FALSE)</f>
        <v>1643.57</v>
      </c>
      <c r="G28" s="4">
        <f>VLOOKUP($A28,'CCNL Economico 2022'!$A$7:$E$38,5,FALSE)</f>
        <v>228</v>
      </c>
      <c r="H28" s="4">
        <f t="shared" si="2"/>
        <v>1689.83</v>
      </c>
      <c r="I28" s="4">
        <f t="shared" si="3"/>
        <v>23839.360000000001</v>
      </c>
      <c r="J28" s="4">
        <f t="shared" si="9"/>
        <v>7110.2503680000009</v>
      </c>
      <c r="K28" s="4">
        <f t="shared" si="4"/>
        <v>2026</v>
      </c>
      <c r="L28" s="4">
        <f t="shared" si="5"/>
        <v>32975.610368000001</v>
      </c>
      <c r="M28" s="23">
        <f t="shared" si="6"/>
        <v>9136.2503680000009</v>
      </c>
      <c r="N28" s="20" t="s">
        <v>19</v>
      </c>
    </row>
    <row r="29" spans="1:14" s="6" customFormat="1" ht="13.5" thickBot="1" x14ac:dyDescent="0.25">
      <c r="A29" s="29" t="s">
        <v>20</v>
      </c>
      <c r="B29" s="36">
        <f>VLOOKUP('2019'!$A29,'CCNL Economico 2022'!$A$7:$C$38,3,FALSE)</f>
        <v>19881.400000000001</v>
      </c>
      <c r="C29" s="35">
        <f t="shared" si="0"/>
        <v>13508.760000000002</v>
      </c>
      <c r="D29" s="5"/>
      <c r="E29" s="5">
        <f>6372.64</f>
        <v>6372.64</v>
      </c>
      <c r="F29" s="5">
        <f>VLOOKUP($A29,'CCNL Economico 2022'!$Q$7:$S$37,2,FALSE)</f>
        <v>1643.57</v>
      </c>
      <c r="G29" s="5">
        <f>VLOOKUP($A29,'CCNL Economico 2022'!$A$7:$E$38,5,FALSE)</f>
        <v>240</v>
      </c>
      <c r="H29" s="5">
        <f t="shared" si="2"/>
        <v>1656.78</v>
      </c>
      <c r="I29" s="5">
        <f t="shared" si="3"/>
        <v>23421.75</v>
      </c>
      <c r="J29" s="5">
        <f t="shared" si="9"/>
        <v>6984.7869000000001</v>
      </c>
      <c r="K29" s="5">
        <f t="shared" si="4"/>
        <v>1991</v>
      </c>
      <c r="L29" s="5">
        <f t="shared" si="5"/>
        <v>32397.536899999999</v>
      </c>
      <c r="M29" s="24">
        <f t="shared" si="6"/>
        <v>8975.7868999999992</v>
      </c>
      <c r="N29" s="21" t="s">
        <v>20</v>
      </c>
    </row>
    <row r="30" spans="1:14" s="6" customFormat="1" x14ac:dyDescent="0.2">
      <c r="A30" s="26" t="s">
        <v>31</v>
      </c>
      <c r="B30" s="15">
        <f>VLOOKUP('2019'!$A30,'CCNL Economico 2022'!$A$7:$C$38,3,FALSE)</f>
        <v>22485.52</v>
      </c>
      <c r="C30" s="34">
        <f t="shared" si="0"/>
        <v>16152.560000000001</v>
      </c>
      <c r="D30" s="3"/>
      <c r="E30" s="3">
        <f>6332.96</f>
        <v>6332.96</v>
      </c>
      <c r="F30" s="3">
        <f>VLOOKUP($A30,'CCNL Economico 2022'!$Q$7:$S$37,2,FALSE)</f>
        <v>1209.06</v>
      </c>
      <c r="G30" s="3">
        <f>VLOOKUP($A30,'CCNL Economico 2022'!$A$7:$E$38,5,FALSE)</f>
        <v>0</v>
      </c>
      <c r="H30" s="3">
        <f t="shared" si="2"/>
        <v>1873.79</v>
      </c>
      <c r="I30" s="3">
        <f t="shared" si="3"/>
        <v>25568.370000000003</v>
      </c>
      <c r="J30" s="3">
        <f t="shared" si="9"/>
        <v>7639.8289560000012</v>
      </c>
      <c r="K30" s="3">
        <f>ROUND(I30*8.5%,0)</f>
        <v>2173</v>
      </c>
      <c r="L30" s="3">
        <f>I30+J30+K30</f>
        <v>35381.198956000007</v>
      </c>
      <c r="M30" s="22">
        <f>J30+K30</f>
        <v>9812.8289560000012</v>
      </c>
      <c r="N30" s="19" t="str">
        <f>A30</f>
        <v>B7</v>
      </c>
    </row>
    <row r="31" spans="1:14" s="6" customFormat="1" ht="12" customHeight="1" x14ac:dyDescent="0.2">
      <c r="A31" s="27" t="s">
        <v>21</v>
      </c>
      <c r="B31" s="16">
        <f>VLOOKUP('2019'!$A31,'CCNL Economico 2022'!$A$7:$C$38,3,FALSE)</f>
        <v>21785.52</v>
      </c>
      <c r="C31" s="33">
        <f>B31-E31</f>
        <v>15452.560000000001</v>
      </c>
      <c r="D31" s="4"/>
      <c r="E31" s="4">
        <f>6332.96</f>
        <v>6332.96</v>
      </c>
      <c r="F31" s="4">
        <f>VLOOKUP($A31,'CCNL Economico 2022'!$Q$7:$S$37,2,FALSE)</f>
        <v>1209.06</v>
      </c>
      <c r="G31" s="4">
        <f>VLOOKUP($A31,'CCNL Economico 2022'!$A$7:$E$38,5,FALSE)</f>
        <v>168</v>
      </c>
      <c r="H31" s="4">
        <f>ROUND((B31)/12,2)</f>
        <v>1815.46</v>
      </c>
      <c r="I31" s="4">
        <f>B31+D31+G31+H31+F31</f>
        <v>24978.04</v>
      </c>
      <c r="J31" s="4">
        <f t="shared" si="9"/>
        <v>7453.8959520000008</v>
      </c>
      <c r="K31" s="4">
        <f>ROUND(I31*8.5%,0)</f>
        <v>2123</v>
      </c>
      <c r="L31" s="4">
        <f>I31+J31+K31</f>
        <v>34554.935952</v>
      </c>
      <c r="M31" s="23">
        <f>J31+K31</f>
        <v>9576.8959520000008</v>
      </c>
      <c r="N31" s="20" t="str">
        <f>A31</f>
        <v>B6</v>
      </c>
    </row>
    <row r="32" spans="1:14" s="6" customFormat="1" ht="12" customHeight="1" x14ac:dyDescent="0.2">
      <c r="A32" s="27" t="s">
        <v>22</v>
      </c>
      <c r="B32" s="16">
        <f>VLOOKUP('2019'!$A32,'CCNL Economico 2022'!$A$7:$C$38,3,FALSE)</f>
        <v>20958.419999999998</v>
      </c>
      <c r="C32" s="33">
        <f t="shared" si="0"/>
        <v>14625.46</v>
      </c>
      <c r="D32" s="4"/>
      <c r="E32" s="4">
        <f>6332.96</f>
        <v>6332.96</v>
      </c>
      <c r="F32" s="4">
        <f>VLOOKUP($A32,'CCNL Economico 2022'!$Q$7:$S$37,2,FALSE)</f>
        <v>1209.06</v>
      </c>
      <c r="G32" s="4">
        <f>VLOOKUP($A32,'CCNL Economico 2022'!$A$7:$E$38,5,FALSE)</f>
        <v>204</v>
      </c>
      <c r="H32" s="4">
        <f t="shared" si="2"/>
        <v>1746.54</v>
      </c>
      <c r="I32" s="4">
        <f t="shared" si="3"/>
        <v>24118.02</v>
      </c>
      <c r="J32" s="4">
        <f t="shared" si="9"/>
        <v>7194.8771760000009</v>
      </c>
      <c r="K32" s="4">
        <f>ROUND(I32*8.5%,0)</f>
        <v>2050</v>
      </c>
      <c r="L32" s="4">
        <f>I32+J32+K32</f>
        <v>33362.897175999999</v>
      </c>
      <c r="M32" s="23">
        <f>J32+K32</f>
        <v>9244.8771760000018</v>
      </c>
      <c r="N32" s="20" t="str">
        <f>A32</f>
        <v>B5</v>
      </c>
    </row>
    <row r="33" spans="1:14" s="6" customFormat="1" x14ac:dyDescent="0.2">
      <c r="A33" s="27" t="s">
        <v>23</v>
      </c>
      <c r="B33" s="16">
        <f>VLOOKUP('2019'!$A33,'CCNL Economico 2022'!$A$7:$C$38,3,FALSE)</f>
        <v>20166.04</v>
      </c>
      <c r="C33" s="33">
        <f t="shared" si="0"/>
        <v>13833.080000000002</v>
      </c>
      <c r="D33" s="4"/>
      <c r="E33" s="4">
        <f>6332.96</f>
        <v>6332.96</v>
      </c>
      <c r="F33" s="4">
        <f>VLOOKUP($A33,'CCNL Economico 2022'!$Q$7:$S$37,2,FALSE)</f>
        <v>1209.06</v>
      </c>
      <c r="G33" s="4">
        <f>VLOOKUP($A33,'CCNL Economico 2022'!$A$7:$E$38,5,FALSE)</f>
        <v>228</v>
      </c>
      <c r="H33" s="4">
        <f t="shared" si="2"/>
        <v>1680.5</v>
      </c>
      <c r="I33" s="4">
        <f t="shared" si="3"/>
        <v>23283.600000000002</v>
      </c>
      <c r="J33" s="4">
        <f t="shared" si="9"/>
        <v>6944.1892800000014</v>
      </c>
      <c r="K33" s="4">
        <f t="shared" si="4"/>
        <v>1979</v>
      </c>
      <c r="L33" s="4">
        <f t="shared" si="5"/>
        <v>32206.789280000005</v>
      </c>
      <c r="M33" s="23">
        <f t="shared" si="6"/>
        <v>8923.1892800000023</v>
      </c>
      <c r="N33" s="20" t="s">
        <v>23</v>
      </c>
    </row>
    <row r="34" spans="1:14" s="6" customFormat="1" x14ac:dyDescent="0.2">
      <c r="A34" s="30" t="s">
        <v>24</v>
      </c>
      <c r="B34" s="16">
        <f>VLOOKUP('2019'!$A34,'CCNL Economico 2022'!$A$7:$C$38,3,FALSE)</f>
        <v>19288.63</v>
      </c>
      <c r="C34" s="33">
        <f t="shared" si="0"/>
        <v>12955.670000000002</v>
      </c>
      <c r="D34" s="4"/>
      <c r="E34" s="4">
        <f>6332.96</f>
        <v>6332.96</v>
      </c>
      <c r="F34" s="4">
        <f>VLOOKUP($A34,'CCNL Economico 2022'!$Q$7:$S$37,2,FALSE)</f>
        <v>1209.06</v>
      </c>
      <c r="G34" s="4">
        <f>VLOOKUP($A34,'CCNL Economico 2022'!$A$7:$E$38,5,FALSE)</f>
        <v>264</v>
      </c>
      <c r="H34" s="4">
        <f t="shared" si="2"/>
        <v>1607.39</v>
      </c>
      <c r="I34" s="4">
        <f t="shared" si="3"/>
        <v>22369.08</v>
      </c>
      <c r="J34" s="4">
        <f t="shared" si="9"/>
        <v>6668.8859040000007</v>
      </c>
      <c r="K34" s="4">
        <f t="shared" si="4"/>
        <v>1901</v>
      </c>
      <c r="L34" s="4">
        <f t="shared" si="5"/>
        <v>30938.965904000004</v>
      </c>
      <c r="M34" s="23">
        <f t="shared" si="6"/>
        <v>8569.8859040000007</v>
      </c>
      <c r="N34" s="20" t="s">
        <v>24</v>
      </c>
    </row>
    <row r="35" spans="1:14" s="6" customFormat="1" x14ac:dyDescent="0.2">
      <c r="A35" s="27" t="s">
        <v>25</v>
      </c>
      <c r="B35" s="16">
        <f>VLOOKUP('2019'!$A35,'CCNL Economico 2022'!$A$7:$C$38,3,FALSE)</f>
        <v>18451.75</v>
      </c>
      <c r="C35" s="33">
        <f t="shared" si="0"/>
        <v>12160.61</v>
      </c>
      <c r="D35" s="4"/>
      <c r="E35" s="4">
        <f>6291.14</f>
        <v>6291.14</v>
      </c>
      <c r="F35" s="4">
        <f>VLOOKUP($A35,'CCNL Economico 2022'!$Q$7:$S$37,2,FALSE)</f>
        <v>1209.06</v>
      </c>
      <c r="G35" s="4">
        <f>VLOOKUP($A35,'CCNL Economico 2022'!$A$7:$E$38,5,FALSE)</f>
        <v>300</v>
      </c>
      <c r="H35" s="4">
        <f t="shared" si="2"/>
        <v>1537.65</v>
      </c>
      <c r="I35" s="4">
        <f t="shared" si="3"/>
        <v>21498.460000000003</v>
      </c>
      <c r="J35" s="4">
        <f t="shared" si="9"/>
        <v>6406.6998480000011</v>
      </c>
      <c r="K35" s="4">
        <f t="shared" si="4"/>
        <v>1827</v>
      </c>
      <c r="L35" s="4">
        <f t="shared" si="5"/>
        <v>29732.159848000003</v>
      </c>
      <c r="M35" s="23">
        <f t="shared" si="6"/>
        <v>8233.6998480000002</v>
      </c>
      <c r="N35" s="20" t="s">
        <v>25</v>
      </c>
    </row>
    <row r="36" spans="1:14" s="6" customFormat="1" ht="13.5" thickBot="1" x14ac:dyDescent="0.25">
      <c r="A36" s="31" t="s">
        <v>26</v>
      </c>
      <c r="B36" s="17">
        <f>VLOOKUP('2019'!$A36,'CCNL Economico 2022'!$A$7:$C$38,3,FALSE)</f>
        <v>17332.099999999999</v>
      </c>
      <c r="C36" s="35">
        <f t="shared" si="0"/>
        <v>11095.579999999998</v>
      </c>
      <c r="D36" s="5"/>
      <c r="E36" s="5">
        <f>6236.52</f>
        <v>6236.52</v>
      </c>
      <c r="F36" s="5">
        <f>VLOOKUP($A36,'CCNL Economico 2022'!$Q$7:$S$37,2,FALSE)</f>
        <v>1209.06</v>
      </c>
      <c r="G36" s="5">
        <f>VLOOKUP($A36,'CCNL Economico 2022'!$A$7:$E$38,5,FALSE)</f>
        <v>336</v>
      </c>
      <c r="H36" s="5">
        <f t="shared" si="2"/>
        <v>1444.34</v>
      </c>
      <c r="I36" s="5">
        <f t="shared" si="3"/>
        <v>20321.5</v>
      </c>
      <c r="J36" s="5">
        <f t="shared" si="9"/>
        <v>6052.9794000000002</v>
      </c>
      <c r="K36" s="5">
        <f t="shared" si="4"/>
        <v>1727</v>
      </c>
      <c r="L36" s="5">
        <f t="shared" si="5"/>
        <v>28101.4794</v>
      </c>
      <c r="M36" s="24">
        <f t="shared" si="6"/>
        <v>7779.9794000000002</v>
      </c>
      <c r="N36" s="21" t="s">
        <v>26</v>
      </c>
    </row>
    <row r="39" spans="1:14" s="6" customFormat="1" x14ac:dyDescent="0.2">
      <c r="G39" s="18"/>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EBB47-54AF-46A0-9F57-7A79A3F058E1}">
  <sheetPr codeName="Foglio3"/>
  <dimension ref="A1:O39"/>
  <sheetViews>
    <sheetView topLeftCell="A3" zoomScaleNormal="100" workbookViewId="0">
      <selection activeCell="P23" sqref="P23"/>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0.28515625" style="6" customWidth="1"/>
    <col min="8" max="8" width="9.7109375" style="6" bestFit="1" customWidth="1"/>
    <col min="9" max="9" width="10.85546875" style="6" customWidth="1"/>
    <col min="10" max="10" width="10.7109375" style="6" customWidth="1"/>
    <col min="11" max="11" width="12" style="6" customWidth="1"/>
    <col min="12" max="13" width="10.7109375" style="6" customWidth="1"/>
    <col min="14" max="14" width="6.28515625" style="6" customWidth="1"/>
    <col min="15" max="15" width="9.140625" style="6"/>
    <col min="16" max="16384" width="9.140625" style="9"/>
  </cols>
  <sheetData>
    <row r="1" spans="1:15" ht="15.75" x14ac:dyDescent="0.2">
      <c r="B1" s="8"/>
    </row>
    <row r="2" spans="1:15" ht="18.75" x14ac:dyDescent="0.2">
      <c r="A2" s="2" t="s">
        <v>88</v>
      </c>
    </row>
    <row r="3" spans="1:15" x14ac:dyDescent="0.2">
      <c r="A3" s="10" t="s">
        <v>95</v>
      </c>
      <c r="B3" s="10"/>
      <c r="C3" s="10"/>
      <c r="D3" s="10"/>
    </row>
    <row r="4" spans="1:15" ht="13.5" thickBot="1" x14ac:dyDescent="0.25">
      <c r="A4" s="11"/>
    </row>
    <row r="5" spans="1:15" s="14" customFormat="1" ht="64.5" thickBot="1" x14ac:dyDescent="0.25">
      <c r="A5" s="12" t="s">
        <v>27</v>
      </c>
      <c r="B5" s="32" t="s">
        <v>46</v>
      </c>
      <c r="C5" s="7" t="s">
        <v>33</v>
      </c>
      <c r="D5" s="7" t="s">
        <v>36</v>
      </c>
      <c r="E5" s="7" t="s">
        <v>35</v>
      </c>
      <c r="F5" s="7" t="s">
        <v>42</v>
      </c>
      <c r="G5" s="7" t="s">
        <v>41</v>
      </c>
      <c r="H5" s="7" t="s">
        <v>34</v>
      </c>
      <c r="I5" s="7" t="s">
        <v>32</v>
      </c>
      <c r="J5" s="7" t="s">
        <v>37</v>
      </c>
      <c r="K5" s="7" t="s">
        <v>38</v>
      </c>
      <c r="L5" s="7" t="s">
        <v>39</v>
      </c>
      <c r="M5" s="13" t="s">
        <v>40</v>
      </c>
      <c r="N5" s="12" t="s">
        <v>27</v>
      </c>
      <c r="O5" s="25"/>
    </row>
    <row r="6" spans="1:15" x14ac:dyDescent="0.2">
      <c r="A6" s="26" t="s">
        <v>43</v>
      </c>
      <c r="B6" s="15">
        <f>VLOOKUP('2019'!$A6,'CCNL Economico 2022'!$A$7:$D$38,4,FALSE)</f>
        <v>37908.32</v>
      </c>
      <c r="C6" s="34">
        <f t="shared" ref="C6:C36" si="0">B6-E6</f>
        <v>31090.09</v>
      </c>
      <c r="D6" s="3">
        <v>3099</v>
      </c>
      <c r="E6" s="3">
        <f>6818.23</f>
        <v>6818.23</v>
      </c>
      <c r="F6" s="3">
        <f>VLOOKUP($A6,'CCNL Economico 2022'!$Q$7:$S$37,3,FALSE)</f>
        <v>3821.77</v>
      </c>
      <c r="G6" s="3">
        <f>VLOOKUP($A6,'CCNL Economico 2022'!$A$7:$E$38,5,FALSE)</f>
        <v>0</v>
      </c>
      <c r="H6" s="3">
        <f>ROUND((B6)/12,2)</f>
        <v>3159.03</v>
      </c>
      <c r="I6" s="3">
        <f>B6+D6+G6+H6+F6</f>
        <v>47988.119999999995</v>
      </c>
      <c r="J6" s="3">
        <f t="shared" ref="J6:J13" si="1">ROUND((C6)*34.24%+D6*24.2%,2)+ROUND((F6*29.88%+H6*29.88%+E6*29.88%),2)</f>
        <v>15518.35</v>
      </c>
      <c r="K6" s="3">
        <f>ROUND(I6*8.5%,0)</f>
        <v>4079</v>
      </c>
      <c r="L6" s="3">
        <f>I6+J6+K6</f>
        <v>67585.47</v>
      </c>
      <c r="M6" s="22">
        <f>J6+K6</f>
        <v>19597.349999999999</v>
      </c>
      <c r="N6" s="15" t="str">
        <f>A6</f>
        <v>EP8</v>
      </c>
    </row>
    <row r="7" spans="1:15" x14ac:dyDescent="0.2">
      <c r="A7" s="27" t="s">
        <v>0</v>
      </c>
      <c r="B7" s="16">
        <f>VLOOKUP('2019'!$A7,'CCNL Economico 2022'!$A$7:$D$38,4,FALSE)</f>
        <v>36808.32</v>
      </c>
      <c r="C7" s="33">
        <f>B7-E7</f>
        <v>29990.09</v>
      </c>
      <c r="D7" s="4">
        <v>3099</v>
      </c>
      <c r="E7" s="4">
        <f>6818.23</f>
        <v>6818.23</v>
      </c>
      <c r="F7" s="4">
        <f>VLOOKUP($A7,'CCNL Economico 2022'!$Q$7:$S$37,3,FALSE)</f>
        <v>3821.77</v>
      </c>
      <c r="G7" s="4">
        <f>VLOOKUP($A7,'CCNL Economico 2022'!$A$7:$E$38,5,FALSE)</f>
        <v>0</v>
      </c>
      <c r="H7" s="4">
        <f>ROUND((B7)/12,2)</f>
        <v>3067.36</v>
      </c>
      <c r="I7" s="4">
        <f>B7+D7+G7+H7+F7</f>
        <v>46796.45</v>
      </c>
      <c r="J7" s="4">
        <f t="shared" si="1"/>
        <v>15114.32</v>
      </c>
      <c r="K7" s="4">
        <f>ROUND(I7*8.5%,0)</f>
        <v>3978</v>
      </c>
      <c r="L7" s="4">
        <f>I7+J7+K7</f>
        <v>65888.76999999999</v>
      </c>
      <c r="M7" s="23">
        <f>J7+K7</f>
        <v>19092.32</v>
      </c>
      <c r="N7" s="16" t="str">
        <f>A7</f>
        <v>EP7</v>
      </c>
    </row>
    <row r="8" spans="1:15" x14ac:dyDescent="0.2">
      <c r="A8" s="28" t="s">
        <v>1</v>
      </c>
      <c r="B8" s="16">
        <f>VLOOKUP('2019'!$A8,'CCNL Economico 2022'!$A$7:$D$38,4,FALSE)</f>
        <v>35398.949999999997</v>
      </c>
      <c r="C8" s="33">
        <f t="shared" si="0"/>
        <v>28580.719999999998</v>
      </c>
      <c r="D8" s="4">
        <v>3099</v>
      </c>
      <c r="E8" s="4">
        <f>6818.23</f>
        <v>6818.23</v>
      </c>
      <c r="F8" s="4">
        <f>VLOOKUP($A8,'CCNL Economico 2022'!$Q$7:$S$37,3,FALSE)</f>
        <v>3821.77</v>
      </c>
      <c r="G8" s="4">
        <f>VLOOKUP($A8,'CCNL Economico 2022'!$A$7:$E$38,5,FALSE)</f>
        <v>0</v>
      </c>
      <c r="H8" s="4">
        <f t="shared" ref="H8:H36" si="2">ROUND((B8)/12,2)</f>
        <v>2949.91</v>
      </c>
      <c r="I8" s="4">
        <f t="shared" ref="I8:I36" si="3">B8+D8+G8+H8+F8</f>
        <v>45269.63</v>
      </c>
      <c r="J8" s="4">
        <f t="shared" si="1"/>
        <v>14596.67</v>
      </c>
      <c r="K8" s="4">
        <f>ROUND(I8*8.5%,0)</f>
        <v>3848</v>
      </c>
      <c r="L8" s="4">
        <f>I8+J8+K8</f>
        <v>63714.299999999996</v>
      </c>
      <c r="M8" s="23">
        <f>J8+K8</f>
        <v>18444.669999999998</v>
      </c>
      <c r="N8" s="16" t="str">
        <f>A8</f>
        <v>EP6</v>
      </c>
    </row>
    <row r="9" spans="1:15" x14ac:dyDescent="0.2">
      <c r="A9" s="28" t="s">
        <v>2</v>
      </c>
      <c r="B9" s="16">
        <f>VLOOKUP('2019'!$A9,'CCNL Economico 2022'!$A$7:$D$38,4,FALSE)</f>
        <v>34049.050000000003</v>
      </c>
      <c r="C9" s="33">
        <f t="shared" si="0"/>
        <v>27230.820000000003</v>
      </c>
      <c r="D9" s="4">
        <v>3099</v>
      </c>
      <c r="E9" s="4">
        <f>6818.23</f>
        <v>6818.23</v>
      </c>
      <c r="F9" s="4">
        <f>VLOOKUP($A9,'CCNL Economico 2022'!$Q$7:$S$37,3,FALSE)</f>
        <v>3821.77</v>
      </c>
      <c r="G9" s="4">
        <f>VLOOKUP($A9,'CCNL Economico 2022'!$A$7:$E$38,5,FALSE)</f>
        <v>0</v>
      </c>
      <c r="H9" s="4">
        <f t="shared" si="2"/>
        <v>2837.42</v>
      </c>
      <c r="I9" s="4">
        <f t="shared" si="3"/>
        <v>43807.24</v>
      </c>
      <c r="J9" s="4">
        <f t="shared" si="1"/>
        <v>14100.84</v>
      </c>
      <c r="K9" s="4">
        <f t="shared" ref="K9:K36" si="4">ROUND(I9*8.5%,0)</f>
        <v>3724</v>
      </c>
      <c r="L9" s="4">
        <f t="shared" ref="L9:L36" si="5">I9+J9+K9</f>
        <v>61632.08</v>
      </c>
      <c r="M9" s="23">
        <f t="shared" ref="M9:M36" si="6">J9+K9</f>
        <v>17824.84</v>
      </c>
      <c r="N9" s="16" t="s">
        <v>2</v>
      </c>
    </row>
    <row r="10" spans="1:15" x14ac:dyDescent="0.2">
      <c r="A10" s="27" t="s">
        <v>3</v>
      </c>
      <c r="B10" s="16">
        <f>VLOOKUP('2019'!$A10,'CCNL Economico 2022'!$A$7:$D$38,4,FALSE)</f>
        <v>32592.67</v>
      </c>
      <c r="C10" s="33">
        <f t="shared" si="0"/>
        <v>25774.44</v>
      </c>
      <c r="D10" s="4">
        <v>3099</v>
      </c>
      <c r="E10" s="4">
        <f>6818.23</f>
        <v>6818.23</v>
      </c>
      <c r="F10" s="4">
        <f>VLOOKUP($A10,'CCNL Economico 2022'!$Q$7:$S$37,3,FALSE)</f>
        <v>3821.77</v>
      </c>
      <c r="G10" s="4">
        <f>VLOOKUP($A10,'CCNL Economico 2022'!$A$7:$E$38,5,FALSE)</f>
        <v>0</v>
      </c>
      <c r="H10" s="4">
        <f t="shared" si="2"/>
        <v>2716.06</v>
      </c>
      <c r="I10" s="4">
        <f t="shared" si="3"/>
        <v>42229.499999999993</v>
      </c>
      <c r="J10" s="4">
        <f t="shared" si="1"/>
        <v>13565.919999999998</v>
      </c>
      <c r="K10" s="4">
        <f t="shared" si="4"/>
        <v>3590</v>
      </c>
      <c r="L10" s="4">
        <f t="shared" si="5"/>
        <v>59385.419999999991</v>
      </c>
      <c r="M10" s="23">
        <f t="shared" si="6"/>
        <v>17155.919999999998</v>
      </c>
      <c r="N10" s="16" t="s">
        <v>3</v>
      </c>
    </row>
    <row r="11" spans="1:15" x14ac:dyDescent="0.2">
      <c r="A11" s="28" t="s">
        <v>4</v>
      </c>
      <c r="B11" s="16">
        <f>VLOOKUP('2019'!$A11,'CCNL Economico 2022'!$A$7:$D$38,4,FALSE)</f>
        <v>30208.78</v>
      </c>
      <c r="C11" s="33">
        <f t="shared" si="0"/>
        <v>23526.519999999997</v>
      </c>
      <c r="D11" s="4">
        <v>3099</v>
      </c>
      <c r="E11" s="4">
        <f>6682.26</f>
        <v>6682.26</v>
      </c>
      <c r="F11" s="4">
        <f>VLOOKUP($A11,'CCNL Economico 2022'!$Q$7:$S$37,3,FALSE)</f>
        <v>2909.4</v>
      </c>
      <c r="G11" s="4">
        <f>VLOOKUP($A11,'CCNL Economico 2022'!$A$7:$E$38,5,FALSE)</f>
        <v>0</v>
      </c>
      <c r="H11" s="4">
        <f t="shared" si="2"/>
        <v>2517.4</v>
      </c>
      <c r="I11" s="4">
        <f t="shared" si="3"/>
        <v>38734.58</v>
      </c>
      <c r="J11" s="4">
        <f t="shared" si="1"/>
        <v>12423.630000000001</v>
      </c>
      <c r="K11" s="4">
        <f t="shared" si="4"/>
        <v>3292</v>
      </c>
      <c r="L11" s="4">
        <f t="shared" si="5"/>
        <v>54450.210000000006</v>
      </c>
      <c r="M11" s="23">
        <f t="shared" si="6"/>
        <v>15715.630000000001</v>
      </c>
      <c r="N11" s="16" t="s">
        <v>4</v>
      </c>
    </row>
    <row r="12" spans="1:15" x14ac:dyDescent="0.2">
      <c r="A12" s="28" t="s">
        <v>5</v>
      </c>
      <c r="B12" s="16">
        <f>VLOOKUP('2019'!$A12,'CCNL Economico 2022'!$A$7:$D$38,4,FALSE)</f>
        <v>28593.439999999999</v>
      </c>
      <c r="C12" s="33">
        <f t="shared" si="0"/>
        <v>21911.18</v>
      </c>
      <c r="D12" s="4">
        <v>3099</v>
      </c>
      <c r="E12" s="4">
        <f>6682.26</f>
        <v>6682.26</v>
      </c>
      <c r="F12" s="4">
        <f>VLOOKUP($A12,'CCNL Economico 2022'!$Q$7:$S$37,3,FALSE)</f>
        <v>2909.4</v>
      </c>
      <c r="G12" s="4">
        <f>VLOOKUP($A12,'CCNL Economico 2022'!$A$7:$E$38,5,FALSE)</f>
        <v>0</v>
      </c>
      <c r="H12" s="4">
        <f t="shared" si="2"/>
        <v>2382.79</v>
      </c>
      <c r="I12" s="4">
        <f t="shared" si="3"/>
        <v>36984.629999999997</v>
      </c>
      <c r="J12" s="4">
        <f t="shared" si="1"/>
        <v>11830.32</v>
      </c>
      <c r="K12" s="4">
        <f t="shared" si="4"/>
        <v>3144</v>
      </c>
      <c r="L12" s="4">
        <f t="shared" si="5"/>
        <v>51958.95</v>
      </c>
      <c r="M12" s="23">
        <f t="shared" si="6"/>
        <v>14974.32</v>
      </c>
      <c r="N12" s="16" t="s">
        <v>5</v>
      </c>
    </row>
    <row r="13" spans="1:15" ht="13.5" thickBot="1" x14ac:dyDescent="0.25">
      <c r="A13" s="29" t="s">
        <v>6</v>
      </c>
      <c r="B13" s="36">
        <f>VLOOKUP('2019'!$A13,'CCNL Economico 2022'!$A$7:$D$38,4,FALSE)</f>
        <v>26890.05</v>
      </c>
      <c r="C13" s="35">
        <f t="shared" si="0"/>
        <v>20207.79</v>
      </c>
      <c r="D13" s="5">
        <v>3099</v>
      </c>
      <c r="E13" s="5">
        <f>6682.26</f>
        <v>6682.26</v>
      </c>
      <c r="F13" s="5">
        <f>VLOOKUP($A13,'CCNL Economico 2022'!$Q$7:$S$37,3,FALSE)</f>
        <v>2909.4</v>
      </c>
      <c r="G13" s="5">
        <f>VLOOKUP($A13,'CCNL Economico 2022'!$A$7:$E$38,5,FALSE)</f>
        <v>0</v>
      </c>
      <c r="H13" s="5">
        <f t="shared" si="2"/>
        <v>2240.84</v>
      </c>
      <c r="I13" s="5">
        <f t="shared" si="3"/>
        <v>35139.29</v>
      </c>
      <c r="J13" s="5">
        <f t="shared" si="1"/>
        <v>11204.66</v>
      </c>
      <c r="K13" s="5">
        <f t="shared" si="4"/>
        <v>2987</v>
      </c>
      <c r="L13" s="5">
        <f t="shared" si="5"/>
        <v>49330.95</v>
      </c>
      <c r="M13" s="24">
        <f t="shared" si="6"/>
        <v>14191.66</v>
      </c>
      <c r="N13" s="17" t="s">
        <v>6</v>
      </c>
    </row>
    <row r="14" spans="1:15" x14ac:dyDescent="0.2">
      <c r="A14" s="26" t="s">
        <v>44</v>
      </c>
      <c r="B14" s="15">
        <f>VLOOKUP('2019'!$A14,'CCNL Economico 2022'!$A$7:$D$38,4,FALSE)</f>
        <v>31062.06</v>
      </c>
      <c r="C14" s="34">
        <f t="shared" si="0"/>
        <v>24516.82</v>
      </c>
      <c r="D14" s="3"/>
      <c r="E14" s="3">
        <f>6545.24</f>
        <v>6545.24</v>
      </c>
      <c r="F14" s="3">
        <f>VLOOKUP($A14,'CCNL Economico 2022'!$Q$7:$S$37,3,FALSE)</f>
        <v>2422.16</v>
      </c>
      <c r="G14" s="3">
        <f>VLOOKUP($A14,'CCNL Economico 2022'!$A$7:$E$38,5,FALSE)</f>
        <v>0</v>
      </c>
      <c r="H14" s="3">
        <f t="shared" si="2"/>
        <v>2588.5100000000002</v>
      </c>
      <c r="I14" s="3">
        <f t="shared" si="3"/>
        <v>36072.729999999996</v>
      </c>
      <c r="J14" s="3">
        <f>+I14*29.88%</f>
        <v>10778.531723999999</v>
      </c>
      <c r="K14" s="3">
        <f>ROUND(I14*8.5%,0)</f>
        <v>3066</v>
      </c>
      <c r="L14" s="3">
        <f>I14+J14+K14</f>
        <v>49917.261723999996</v>
      </c>
      <c r="M14" s="22">
        <f>J14+K14</f>
        <v>13844.531723999999</v>
      </c>
      <c r="N14" s="19" t="str">
        <f>A14</f>
        <v>D8</v>
      </c>
    </row>
    <row r="15" spans="1:15" x14ac:dyDescent="0.2">
      <c r="A15" s="27" t="s">
        <v>7</v>
      </c>
      <c r="B15" s="16">
        <f>VLOOKUP('2019'!$A15,'CCNL Economico 2022'!$A$7:$D$38,4,FALSE)</f>
        <v>30162.06</v>
      </c>
      <c r="C15" s="33">
        <f>B15-E15</f>
        <v>23616.82</v>
      </c>
      <c r="D15" s="4"/>
      <c r="E15" s="4">
        <f t="shared" ref="E15:E21" si="7">6545.24</f>
        <v>6545.24</v>
      </c>
      <c r="F15" s="4">
        <f>VLOOKUP($A15,'CCNL Economico 2022'!$Q$7:$S$37,3,FALSE)</f>
        <v>2422.16</v>
      </c>
      <c r="G15" s="4">
        <f>VLOOKUP($A15,'CCNL Economico 2022'!$A$7:$E$38,5,FALSE)</f>
        <v>0</v>
      </c>
      <c r="H15" s="4">
        <f>ROUND((B15)/12,2)</f>
        <v>2513.5100000000002</v>
      </c>
      <c r="I15" s="4">
        <f>B15+D15+G15+H15+F15</f>
        <v>35097.729999999996</v>
      </c>
      <c r="J15" s="4">
        <f t="shared" ref="J15:J19" si="8">+I15*29.88%</f>
        <v>10487.201723999999</v>
      </c>
      <c r="K15" s="4">
        <f>ROUND(I15*8.5%,0)</f>
        <v>2983</v>
      </c>
      <c r="L15" s="4">
        <f>I15+J15+K15</f>
        <v>48567.931723999995</v>
      </c>
      <c r="M15" s="23">
        <f>J15+K15</f>
        <v>13470.201723999999</v>
      </c>
      <c r="N15" s="20" t="str">
        <f>A15</f>
        <v>D7</v>
      </c>
    </row>
    <row r="16" spans="1:15" x14ac:dyDescent="0.2">
      <c r="A16" s="28" t="s">
        <v>8</v>
      </c>
      <c r="B16" s="16">
        <f>VLOOKUP('2019'!$A16,'CCNL Economico 2022'!$A$7:$D$38,4,FALSE)</f>
        <v>29105.68</v>
      </c>
      <c r="C16" s="33">
        <f t="shared" si="0"/>
        <v>22560.440000000002</v>
      </c>
      <c r="D16" s="4"/>
      <c r="E16" s="4">
        <f t="shared" si="7"/>
        <v>6545.24</v>
      </c>
      <c r="F16" s="4">
        <f>VLOOKUP($A16,'CCNL Economico 2022'!$Q$7:$S$37,3,FALSE)</f>
        <v>2422.16</v>
      </c>
      <c r="G16" s="4">
        <f>VLOOKUP($A16,'CCNL Economico 2022'!$A$7:$E$38,5,FALSE)</f>
        <v>0</v>
      </c>
      <c r="H16" s="4">
        <f t="shared" si="2"/>
        <v>2425.4699999999998</v>
      </c>
      <c r="I16" s="4">
        <f t="shared" si="3"/>
        <v>33953.31</v>
      </c>
      <c r="J16" s="4">
        <f t="shared" si="8"/>
        <v>10145.249028</v>
      </c>
      <c r="K16" s="4">
        <f>ROUND(I16*8.5%,0)</f>
        <v>2886</v>
      </c>
      <c r="L16" s="4">
        <f>I16+J16+K16</f>
        <v>46984.559027999996</v>
      </c>
      <c r="M16" s="23">
        <f>J16+K16</f>
        <v>13031.249028</v>
      </c>
      <c r="N16" s="20" t="str">
        <f>A16</f>
        <v>D6</v>
      </c>
    </row>
    <row r="17" spans="1:14" x14ac:dyDescent="0.2">
      <c r="A17" s="28" t="s">
        <v>9</v>
      </c>
      <c r="B17" s="16">
        <f>VLOOKUP('2019'!$A17,'CCNL Economico 2022'!$A$7:$D$38,4,FALSE)</f>
        <v>28091.7</v>
      </c>
      <c r="C17" s="33">
        <f t="shared" si="0"/>
        <v>21546.46</v>
      </c>
      <c r="D17" s="4"/>
      <c r="E17" s="4">
        <f t="shared" si="7"/>
        <v>6545.24</v>
      </c>
      <c r="F17" s="4">
        <f>VLOOKUP($A17,'CCNL Economico 2022'!$Q$7:$S$37,3,FALSE)</f>
        <v>2422.16</v>
      </c>
      <c r="G17" s="4">
        <f>VLOOKUP($A17,'CCNL Economico 2022'!$A$7:$E$38,5,FALSE)</f>
        <v>0</v>
      </c>
      <c r="H17" s="4">
        <f t="shared" si="2"/>
        <v>2340.98</v>
      </c>
      <c r="I17" s="4">
        <f t="shared" si="3"/>
        <v>32854.839999999997</v>
      </c>
      <c r="J17" s="4">
        <f t="shared" si="8"/>
        <v>9817.0261919999994</v>
      </c>
      <c r="K17" s="4">
        <f t="shared" si="4"/>
        <v>2793</v>
      </c>
      <c r="L17" s="4">
        <f t="shared" si="5"/>
        <v>45464.866191999994</v>
      </c>
      <c r="M17" s="23">
        <f t="shared" si="6"/>
        <v>12610.026191999999</v>
      </c>
      <c r="N17" s="20" t="s">
        <v>9</v>
      </c>
    </row>
    <row r="18" spans="1:14" x14ac:dyDescent="0.2">
      <c r="A18" s="28" t="s">
        <v>10</v>
      </c>
      <c r="B18" s="16">
        <f>VLOOKUP('2019'!$A18,'CCNL Economico 2022'!$A$7:$D$38,4,FALSE)</f>
        <v>27123.48</v>
      </c>
      <c r="C18" s="33">
        <f t="shared" si="0"/>
        <v>20578.239999999998</v>
      </c>
      <c r="D18" s="4"/>
      <c r="E18" s="4">
        <f t="shared" si="7"/>
        <v>6545.24</v>
      </c>
      <c r="F18" s="4">
        <f>VLOOKUP($A18,'CCNL Economico 2022'!$Q$7:$S$37,3,FALSE)</f>
        <v>2422.16</v>
      </c>
      <c r="G18" s="4">
        <f>VLOOKUP($A18,'CCNL Economico 2022'!$A$7:$E$38,5,FALSE)</f>
        <v>0</v>
      </c>
      <c r="H18" s="4">
        <f t="shared" si="2"/>
        <v>2260.29</v>
      </c>
      <c r="I18" s="4">
        <f t="shared" si="3"/>
        <v>31805.93</v>
      </c>
      <c r="J18" s="4">
        <f t="shared" si="8"/>
        <v>9503.6118839999999</v>
      </c>
      <c r="K18" s="4">
        <f t="shared" si="4"/>
        <v>2704</v>
      </c>
      <c r="L18" s="4">
        <f t="shared" si="5"/>
        <v>44013.541883999998</v>
      </c>
      <c r="M18" s="23">
        <f t="shared" si="6"/>
        <v>12207.611884</v>
      </c>
      <c r="N18" s="20" t="s">
        <v>10</v>
      </c>
    </row>
    <row r="19" spans="1:14" s="6" customFormat="1" x14ac:dyDescent="0.2">
      <c r="A19" s="28" t="s">
        <v>11</v>
      </c>
      <c r="B19" s="16">
        <f>VLOOKUP('2019'!$A19,'CCNL Economico 2022'!$A$7:$D$38,4,FALSE)</f>
        <v>25811.93</v>
      </c>
      <c r="C19" s="33">
        <f t="shared" si="0"/>
        <v>19266.690000000002</v>
      </c>
      <c r="D19" s="4"/>
      <c r="E19" s="4">
        <f t="shared" si="7"/>
        <v>6545.24</v>
      </c>
      <c r="F19" s="4">
        <f>VLOOKUP($A19,'CCNL Economico 2022'!$Q$7:$S$37,3,FALSE)</f>
        <v>2422.16</v>
      </c>
      <c r="G19" s="4">
        <f>VLOOKUP($A19,'CCNL Economico 2022'!$A$7:$E$38,5,FALSE)</f>
        <v>0</v>
      </c>
      <c r="H19" s="4">
        <f t="shared" si="2"/>
        <v>2150.9899999999998</v>
      </c>
      <c r="I19" s="4">
        <f t="shared" si="3"/>
        <v>30385.079999999998</v>
      </c>
      <c r="J19" s="4">
        <f t="shared" si="8"/>
        <v>9079.0619040000001</v>
      </c>
      <c r="K19" s="4">
        <f t="shared" si="4"/>
        <v>2583</v>
      </c>
      <c r="L19" s="4">
        <f t="shared" si="5"/>
        <v>42047.141903999996</v>
      </c>
      <c r="M19" s="23">
        <f t="shared" si="6"/>
        <v>11662.061904</v>
      </c>
      <c r="N19" s="20" t="s">
        <v>11</v>
      </c>
    </row>
    <row r="20" spans="1:14" s="6" customFormat="1" x14ac:dyDescent="0.2">
      <c r="A20" s="28" t="s">
        <v>12</v>
      </c>
      <c r="B20" s="16">
        <f>VLOOKUP('2019'!$A20,'CCNL Economico 2022'!$A$7:$D$38,4,FALSE)</f>
        <v>24736.959999999999</v>
      </c>
      <c r="C20" s="33">
        <f t="shared" si="0"/>
        <v>18191.72</v>
      </c>
      <c r="D20" s="4"/>
      <c r="E20" s="4">
        <f t="shared" si="7"/>
        <v>6545.24</v>
      </c>
      <c r="F20" s="4">
        <f>VLOOKUP($A20,'CCNL Economico 2022'!$Q$7:$S$37,3,FALSE)</f>
        <v>2422.16</v>
      </c>
      <c r="G20" s="4">
        <f>VLOOKUP($A20,'CCNL Economico 2022'!$A$7:$E$38,5,FALSE)</f>
        <v>84</v>
      </c>
      <c r="H20" s="4">
        <f t="shared" si="2"/>
        <v>2061.41</v>
      </c>
      <c r="I20" s="4">
        <f t="shared" si="3"/>
        <v>29304.53</v>
      </c>
      <c r="J20" s="4">
        <f>+(+I20-G20)*29.88%+G20*24.2%</f>
        <v>8751.422364</v>
      </c>
      <c r="K20" s="4">
        <f t="shared" si="4"/>
        <v>2491</v>
      </c>
      <c r="L20" s="4">
        <f t="shared" si="5"/>
        <v>40546.952363999997</v>
      </c>
      <c r="M20" s="23">
        <f t="shared" si="6"/>
        <v>11242.422364</v>
      </c>
      <c r="N20" s="20" t="s">
        <v>12</v>
      </c>
    </row>
    <row r="21" spans="1:14" s="6" customFormat="1" ht="13.5" thickBot="1" x14ac:dyDescent="0.25">
      <c r="A21" s="29" t="s">
        <v>13</v>
      </c>
      <c r="B21" s="36">
        <f>VLOOKUP('2019'!$A21,'CCNL Economico 2022'!$A$7:$D$38,4,FALSE)</f>
        <v>23806.83</v>
      </c>
      <c r="C21" s="35">
        <f t="shared" si="0"/>
        <v>17261.590000000004</v>
      </c>
      <c r="D21" s="5"/>
      <c r="E21" s="5">
        <f t="shared" si="7"/>
        <v>6545.24</v>
      </c>
      <c r="F21" s="5">
        <f>VLOOKUP($A21,'CCNL Economico 2022'!$Q$7:$S$37,3,FALSE)</f>
        <v>2422.16</v>
      </c>
      <c r="G21" s="5">
        <f>VLOOKUP($A21,'CCNL Economico 2022'!$A$7:$E$38,5,FALSE)</f>
        <v>108</v>
      </c>
      <c r="H21" s="5">
        <f t="shared" si="2"/>
        <v>1983.9</v>
      </c>
      <c r="I21" s="5">
        <f t="shared" si="3"/>
        <v>28320.890000000003</v>
      </c>
      <c r="J21" s="5">
        <f t="shared" ref="J21:J36" si="9">+(+I21-G21)*29.88%+G21*24.2%</f>
        <v>8456.1475320000009</v>
      </c>
      <c r="K21" s="5">
        <f t="shared" si="4"/>
        <v>2407</v>
      </c>
      <c r="L21" s="5">
        <f t="shared" si="5"/>
        <v>39184.037532000002</v>
      </c>
      <c r="M21" s="24">
        <f t="shared" si="6"/>
        <v>10863.147532000001</v>
      </c>
      <c r="N21" s="21" t="s">
        <v>13</v>
      </c>
    </row>
    <row r="22" spans="1:14" s="6" customFormat="1" x14ac:dyDescent="0.2">
      <c r="A22" s="26" t="s">
        <v>45</v>
      </c>
      <c r="B22" s="15">
        <f>VLOOKUP('2019'!$A22,'CCNL Economico 2022'!$A$7:$D$38,4,FALSE)</f>
        <v>25774.46</v>
      </c>
      <c r="C22" s="34">
        <f t="shared" si="0"/>
        <v>19324.379999999997</v>
      </c>
      <c r="D22" s="3"/>
      <c r="E22" s="3">
        <f>6450.08</f>
        <v>6450.08</v>
      </c>
      <c r="F22" s="3">
        <f>VLOOKUP($A22,'CCNL Economico 2022'!$Q$7:$S$37,3,FALSE)</f>
        <v>1693.97</v>
      </c>
      <c r="G22" s="3">
        <f>VLOOKUP($A22,'CCNL Economico 2022'!$A$7:$E$38,5,FALSE)</f>
        <v>0</v>
      </c>
      <c r="H22" s="3">
        <f t="shared" si="2"/>
        <v>2147.87</v>
      </c>
      <c r="I22" s="3">
        <f t="shared" si="3"/>
        <v>29616.3</v>
      </c>
      <c r="J22" s="3">
        <f t="shared" si="9"/>
        <v>8849.3504400000002</v>
      </c>
      <c r="K22" s="3">
        <f>ROUND(I22*8.5%,0)</f>
        <v>2517</v>
      </c>
      <c r="L22" s="3">
        <f>I22+J22+K22</f>
        <v>40982.650439999998</v>
      </c>
      <c r="M22" s="22">
        <f>J22+K22</f>
        <v>11366.35044</v>
      </c>
      <c r="N22" s="19" t="str">
        <f>A22</f>
        <v>C8</v>
      </c>
    </row>
    <row r="23" spans="1:14" s="6" customFormat="1" x14ac:dyDescent="0.2">
      <c r="A23" s="27" t="s">
        <v>14</v>
      </c>
      <c r="B23" s="16">
        <f>VLOOKUP('2019'!$A23,'CCNL Economico 2022'!$A$7:$D$38,4,FALSE)</f>
        <v>24974.46</v>
      </c>
      <c r="C23" s="33">
        <f>B23-E23</f>
        <v>18524.379999999997</v>
      </c>
      <c r="D23" s="4"/>
      <c r="E23" s="4">
        <f>6450.08</f>
        <v>6450.08</v>
      </c>
      <c r="F23" s="4">
        <f>VLOOKUP($A23,'CCNL Economico 2022'!$Q$7:$S$37,3,FALSE)</f>
        <v>1693.97</v>
      </c>
      <c r="G23" s="4">
        <f>VLOOKUP($A23,'CCNL Economico 2022'!$A$7:$E$38,5,FALSE)</f>
        <v>60</v>
      </c>
      <c r="H23" s="4">
        <f>ROUND((B23)/12,2)</f>
        <v>2081.21</v>
      </c>
      <c r="I23" s="4">
        <f>B23+D23+G23+H23+F23</f>
        <v>28809.64</v>
      </c>
      <c r="J23" s="4">
        <f t="shared" si="9"/>
        <v>8604.912432000001</v>
      </c>
      <c r="K23" s="4">
        <f>ROUND(I23*8.5%,0)</f>
        <v>2449</v>
      </c>
      <c r="L23" s="4">
        <f>I23+J23+K23</f>
        <v>39863.552431999997</v>
      </c>
      <c r="M23" s="23">
        <f>J23+K23</f>
        <v>11053.912432000001</v>
      </c>
      <c r="N23" s="20" t="str">
        <f>A23</f>
        <v>C7</v>
      </c>
    </row>
    <row r="24" spans="1:14" s="6" customFormat="1" x14ac:dyDescent="0.2">
      <c r="A24" s="28" t="s">
        <v>15</v>
      </c>
      <c r="B24" s="16">
        <f>VLOOKUP('2019'!$A24,'CCNL Economico 2022'!$A$7:$D$38,4,FALSE)</f>
        <v>24185.16</v>
      </c>
      <c r="C24" s="33">
        <f t="shared" si="0"/>
        <v>17735.080000000002</v>
      </c>
      <c r="D24" s="4"/>
      <c r="E24" s="4">
        <f>6450.08</f>
        <v>6450.08</v>
      </c>
      <c r="F24" s="4">
        <f>VLOOKUP($A24,'CCNL Economico 2022'!$Q$7:$S$37,3,FALSE)</f>
        <v>1693.97</v>
      </c>
      <c r="G24" s="4">
        <f>VLOOKUP($A24,'CCNL Economico 2022'!$A$7:$E$38,5,FALSE)</f>
        <v>96</v>
      </c>
      <c r="H24" s="4">
        <f t="shared" si="2"/>
        <v>2015.43</v>
      </c>
      <c r="I24" s="4">
        <f t="shared" si="3"/>
        <v>27990.560000000001</v>
      </c>
      <c r="J24" s="4">
        <f t="shared" si="9"/>
        <v>8358.1265280000007</v>
      </c>
      <c r="K24" s="4">
        <f>ROUND(I24*8.5%,0)</f>
        <v>2379</v>
      </c>
      <c r="L24" s="4">
        <f>I24+J24+K24</f>
        <v>38727.686528000006</v>
      </c>
      <c r="M24" s="23">
        <f>J24+K24</f>
        <v>10737.126528000001</v>
      </c>
      <c r="N24" s="20" t="str">
        <f>A24</f>
        <v>C6</v>
      </c>
    </row>
    <row r="25" spans="1:14" s="6" customFormat="1" x14ac:dyDescent="0.2">
      <c r="A25" s="28" t="s">
        <v>16</v>
      </c>
      <c r="B25" s="16">
        <f>VLOOKUP('2019'!$A25,'CCNL Economico 2022'!$A$7:$D$38,4,FALSE)</f>
        <v>23424.12</v>
      </c>
      <c r="C25" s="33">
        <f t="shared" si="0"/>
        <v>16974.04</v>
      </c>
      <c r="D25" s="4"/>
      <c r="E25" s="4">
        <f>6450.08</f>
        <v>6450.08</v>
      </c>
      <c r="F25" s="4">
        <f>VLOOKUP($A25,'CCNL Economico 2022'!$Q$7:$S$37,3,FALSE)</f>
        <v>1693.97</v>
      </c>
      <c r="G25" s="4">
        <f>VLOOKUP($A25,'CCNL Economico 2022'!$A$7:$E$38,5,FALSE)</f>
        <v>120</v>
      </c>
      <c r="H25" s="4">
        <f t="shared" si="2"/>
        <v>1952.01</v>
      </c>
      <c r="I25" s="4">
        <f t="shared" si="3"/>
        <v>27190.1</v>
      </c>
      <c r="J25" s="4">
        <f t="shared" si="9"/>
        <v>8117.5858799999996</v>
      </c>
      <c r="K25" s="4">
        <f t="shared" si="4"/>
        <v>2311</v>
      </c>
      <c r="L25" s="4">
        <f>I25+J25+K25</f>
        <v>37618.685879999997</v>
      </c>
      <c r="M25" s="23">
        <f t="shared" si="6"/>
        <v>10428.585879999999</v>
      </c>
      <c r="N25" s="20" t="s">
        <v>16</v>
      </c>
    </row>
    <row r="26" spans="1:14" s="6" customFormat="1" x14ac:dyDescent="0.2">
      <c r="A26" s="27" t="s">
        <v>17</v>
      </c>
      <c r="B26" s="16">
        <f>VLOOKUP('2019'!$A26,'CCNL Economico 2022'!$A$7:$D$38,4,FALSE)</f>
        <v>22692.959999999999</v>
      </c>
      <c r="C26" s="33">
        <f t="shared" si="0"/>
        <v>16242.88</v>
      </c>
      <c r="D26" s="4"/>
      <c r="E26" s="4">
        <f>6450.08</f>
        <v>6450.08</v>
      </c>
      <c r="F26" s="4">
        <f>VLOOKUP($A26,'CCNL Economico 2022'!$Q$7:$S$37,3,FALSE)</f>
        <v>1693.97</v>
      </c>
      <c r="G26" s="4">
        <f>VLOOKUP($A26,'CCNL Economico 2022'!$A$7:$E$38,5,FALSE)</f>
        <v>156</v>
      </c>
      <c r="H26" s="4">
        <f t="shared" si="2"/>
        <v>1891.08</v>
      </c>
      <c r="I26" s="4">
        <f t="shared" si="3"/>
        <v>26434.010000000002</v>
      </c>
      <c r="J26" s="4">
        <f t="shared" si="9"/>
        <v>7889.6213880000014</v>
      </c>
      <c r="K26" s="4">
        <f t="shared" si="4"/>
        <v>2247</v>
      </c>
      <c r="L26" s="4">
        <f t="shared" si="5"/>
        <v>36570.631388000002</v>
      </c>
      <c r="M26" s="23">
        <f t="shared" si="6"/>
        <v>10136.621388000001</v>
      </c>
      <c r="N26" s="20" t="s">
        <v>17</v>
      </c>
    </row>
    <row r="27" spans="1:14" s="6" customFormat="1" x14ac:dyDescent="0.2">
      <c r="A27" s="28" t="s">
        <v>18</v>
      </c>
      <c r="B27" s="16">
        <f>VLOOKUP('2019'!$A27,'CCNL Economico 2022'!$A$7:$D$38,4,FALSE)</f>
        <v>21583.08</v>
      </c>
      <c r="C27" s="33">
        <f t="shared" si="0"/>
        <v>15210.440000000002</v>
      </c>
      <c r="D27" s="4"/>
      <c r="E27" s="4">
        <f>6372.64</f>
        <v>6372.64</v>
      </c>
      <c r="F27" s="4">
        <f>VLOOKUP($A27,'CCNL Economico 2022'!$Q$7:$S$37,3,FALSE)</f>
        <v>1693.97</v>
      </c>
      <c r="G27" s="4">
        <f>VLOOKUP($A27,'CCNL Economico 2022'!$A$7:$E$38,5,FALSE)</f>
        <v>192</v>
      </c>
      <c r="H27" s="4">
        <f t="shared" si="2"/>
        <v>1798.59</v>
      </c>
      <c r="I27" s="4">
        <f t="shared" si="3"/>
        <v>25267.640000000003</v>
      </c>
      <c r="J27" s="4">
        <f t="shared" si="9"/>
        <v>7539.0652320000008</v>
      </c>
      <c r="K27" s="4">
        <f t="shared" si="4"/>
        <v>2148</v>
      </c>
      <c r="L27" s="4">
        <f t="shared" si="5"/>
        <v>34954.705232000008</v>
      </c>
      <c r="M27" s="23">
        <f t="shared" si="6"/>
        <v>9687.0652320000008</v>
      </c>
      <c r="N27" s="20" t="s">
        <v>18</v>
      </c>
    </row>
    <row r="28" spans="1:14" s="6" customFormat="1" x14ac:dyDescent="0.2">
      <c r="A28" s="28" t="s">
        <v>19</v>
      </c>
      <c r="B28" s="16">
        <f>VLOOKUP('2019'!$A28,'CCNL Economico 2022'!$A$7:$D$38,4,FALSE)</f>
        <v>20750.759999999998</v>
      </c>
      <c r="C28" s="33">
        <f t="shared" si="0"/>
        <v>14378.119999999999</v>
      </c>
      <c r="D28" s="4"/>
      <c r="E28" s="4">
        <f>6372.64</f>
        <v>6372.64</v>
      </c>
      <c r="F28" s="4">
        <f>VLOOKUP($A28,'CCNL Economico 2022'!$Q$7:$S$37,3,FALSE)</f>
        <v>1693.97</v>
      </c>
      <c r="G28" s="4">
        <f>VLOOKUP($A28,'CCNL Economico 2022'!$A$7:$E$38,5,FALSE)</f>
        <v>228</v>
      </c>
      <c r="H28" s="4">
        <f t="shared" si="2"/>
        <v>1729.23</v>
      </c>
      <c r="I28" s="4">
        <f t="shared" si="3"/>
        <v>24401.96</v>
      </c>
      <c r="J28" s="4">
        <f t="shared" si="9"/>
        <v>7278.3552480000008</v>
      </c>
      <c r="K28" s="4">
        <f t="shared" si="4"/>
        <v>2074</v>
      </c>
      <c r="L28" s="4">
        <f t="shared" si="5"/>
        <v>33754.315247999999</v>
      </c>
      <c r="M28" s="23">
        <f t="shared" si="6"/>
        <v>9352.3552479999998</v>
      </c>
      <c r="N28" s="20" t="s">
        <v>19</v>
      </c>
    </row>
    <row r="29" spans="1:14" s="6" customFormat="1" ht="13.5" thickBot="1" x14ac:dyDescent="0.25">
      <c r="A29" s="29" t="s">
        <v>20</v>
      </c>
      <c r="B29" s="36">
        <f>VLOOKUP('2019'!$A29,'CCNL Economico 2022'!$A$7:$D$38,4,FALSE)</f>
        <v>20354.2</v>
      </c>
      <c r="C29" s="35">
        <f t="shared" si="0"/>
        <v>13981.560000000001</v>
      </c>
      <c r="D29" s="5"/>
      <c r="E29" s="5">
        <f>6372.64</f>
        <v>6372.64</v>
      </c>
      <c r="F29" s="5">
        <f>VLOOKUP($A29,'CCNL Economico 2022'!$Q$7:$S$37,3,FALSE)</f>
        <v>1693.97</v>
      </c>
      <c r="G29" s="5">
        <f>VLOOKUP($A29,'CCNL Economico 2022'!$A$7:$E$38,5,FALSE)</f>
        <v>240</v>
      </c>
      <c r="H29" s="5">
        <f t="shared" si="2"/>
        <v>1696.18</v>
      </c>
      <c r="I29" s="5">
        <f t="shared" si="3"/>
        <v>23984.350000000002</v>
      </c>
      <c r="J29" s="5">
        <f t="shared" si="9"/>
        <v>7152.8917800000008</v>
      </c>
      <c r="K29" s="5">
        <f t="shared" si="4"/>
        <v>2039</v>
      </c>
      <c r="L29" s="5">
        <f t="shared" si="5"/>
        <v>33176.241780000004</v>
      </c>
      <c r="M29" s="24">
        <f t="shared" si="6"/>
        <v>9191.8917800000017</v>
      </c>
      <c r="N29" s="21" t="s">
        <v>20</v>
      </c>
    </row>
    <row r="30" spans="1:14" s="6" customFormat="1" x14ac:dyDescent="0.2">
      <c r="A30" s="26" t="s">
        <v>31</v>
      </c>
      <c r="B30" s="15">
        <f>VLOOKUP('2019'!$A30,'CCNL Economico 2022'!$A$7:$D$38,4,FALSE)</f>
        <v>22930.720000000001</v>
      </c>
      <c r="C30" s="34">
        <f t="shared" si="0"/>
        <v>16597.760000000002</v>
      </c>
      <c r="D30" s="3"/>
      <c r="E30" s="3">
        <f>6332.96</f>
        <v>6332.96</v>
      </c>
      <c r="F30" s="3">
        <f>VLOOKUP($A30,'CCNL Economico 2022'!$Q$7:$S$37,3,FALSE)</f>
        <v>1246.1599999999999</v>
      </c>
      <c r="G30" s="3">
        <f>VLOOKUP($A30,'CCNL Economico 2022'!$A$7:$E$38,5,FALSE)</f>
        <v>0</v>
      </c>
      <c r="H30" s="3">
        <f t="shared" si="2"/>
        <v>1910.89</v>
      </c>
      <c r="I30" s="3">
        <f t="shared" si="3"/>
        <v>26087.77</v>
      </c>
      <c r="J30" s="3">
        <f t="shared" si="9"/>
        <v>7795.0256760000002</v>
      </c>
      <c r="K30" s="3">
        <f>ROUND(I30*8.5%,0)</f>
        <v>2217</v>
      </c>
      <c r="L30" s="3">
        <f>I30+J30+K30</f>
        <v>36099.795676000002</v>
      </c>
      <c r="M30" s="22">
        <f>J30+K30</f>
        <v>10012.025676000001</v>
      </c>
      <c r="N30" s="19" t="str">
        <f>A30</f>
        <v>B7</v>
      </c>
    </row>
    <row r="31" spans="1:14" s="6" customFormat="1" ht="12" customHeight="1" x14ac:dyDescent="0.2">
      <c r="A31" s="27" t="s">
        <v>21</v>
      </c>
      <c r="B31" s="16">
        <f>VLOOKUP('2019'!$A31,'CCNL Economico 2022'!$A$7:$D$38,4,FALSE)</f>
        <v>22230.720000000001</v>
      </c>
      <c r="C31" s="33">
        <f>B31-E31</f>
        <v>15897.760000000002</v>
      </c>
      <c r="D31" s="4"/>
      <c r="E31" s="4">
        <f>6332.96</f>
        <v>6332.96</v>
      </c>
      <c r="F31" s="4">
        <f>VLOOKUP($A31,'CCNL Economico 2022'!$Q$7:$S$37,3,FALSE)</f>
        <v>1246.1599999999999</v>
      </c>
      <c r="G31" s="4">
        <f>VLOOKUP($A31,'CCNL Economico 2022'!$A$7:$E$38,5,FALSE)</f>
        <v>168</v>
      </c>
      <c r="H31" s="4">
        <f>ROUND((B31)/12,2)</f>
        <v>1852.56</v>
      </c>
      <c r="I31" s="4">
        <f>B31+D31+G31+H31+F31</f>
        <v>25497.440000000002</v>
      </c>
      <c r="J31" s="4">
        <f t="shared" si="9"/>
        <v>7609.0926720000007</v>
      </c>
      <c r="K31" s="4">
        <f>ROUND(I31*8.5%,0)</f>
        <v>2167</v>
      </c>
      <c r="L31" s="4">
        <f>I31+J31+K31</f>
        <v>35273.532672000001</v>
      </c>
      <c r="M31" s="23">
        <f>J31+K31</f>
        <v>9776.0926720000007</v>
      </c>
      <c r="N31" s="20" t="str">
        <f>A31</f>
        <v>B6</v>
      </c>
    </row>
    <row r="32" spans="1:14" s="6" customFormat="1" ht="12" customHeight="1" x14ac:dyDescent="0.2">
      <c r="A32" s="27" t="s">
        <v>22</v>
      </c>
      <c r="B32" s="16">
        <f>VLOOKUP('2019'!$A32,'CCNL Economico 2022'!$A$7:$D$38,4,FALSE)</f>
        <v>21403.62</v>
      </c>
      <c r="C32" s="33">
        <f t="shared" si="0"/>
        <v>15070.66</v>
      </c>
      <c r="D32" s="4"/>
      <c r="E32" s="4">
        <f>6332.96</f>
        <v>6332.96</v>
      </c>
      <c r="F32" s="4">
        <f>VLOOKUP($A32,'CCNL Economico 2022'!$Q$7:$S$37,3,FALSE)</f>
        <v>1246.1599999999999</v>
      </c>
      <c r="G32" s="4">
        <f>VLOOKUP($A32,'CCNL Economico 2022'!$A$7:$E$38,5,FALSE)</f>
        <v>204</v>
      </c>
      <c r="H32" s="4">
        <f t="shared" si="2"/>
        <v>1783.64</v>
      </c>
      <c r="I32" s="4">
        <f t="shared" si="3"/>
        <v>24637.42</v>
      </c>
      <c r="J32" s="4">
        <f t="shared" si="9"/>
        <v>7350.0738959999999</v>
      </c>
      <c r="K32" s="4">
        <f>ROUND(I32*8.5%,0)</f>
        <v>2094</v>
      </c>
      <c r="L32" s="4">
        <f>I32+J32+K32</f>
        <v>34081.493896</v>
      </c>
      <c r="M32" s="23">
        <f>J32+K32</f>
        <v>9444.0738959999999</v>
      </c>
      <c r="N32" s="20" t="str">
        <f>A32</f>
        <v>B5</v>
      </c>
    </row>
    <row r="33" spans="1:14" s="6" customFormat="1" x14ac:dyDescent="0.2">
      <c r="A33" s="27" t="s">
        <v>23</v>
      </c>
      <c r="B33" s="16">
        <f>VLOOKUP('2019'!$A33,'CCNL Economico 2022'!$A$7:$D$38,4,FALSE)</f>
        <v>20611.240000000002</v>
      </c>
      <c r="C33" s="33">
        <f t="shared" si="0"/>
        <v>14278.280000000002</v>
      </c>
      <c r="D33" s="4"/>
      <c r="E33" s="4">
        <f>6332.96</f>
        <v>6332.96</v>
      </c>
      <c r="F33" s="4">
        <f>VLOOKUP($A33,'CCNL Economico 2022'!$Q$7:$S$37,3,FALSE)</f>
        <v>1246.1599999999999</v>
      </c>
      <c r="G33" s="4">
        <f>VLOOKUP($A33,'CCNL Economico 2022'!$A$7:$E$38,5,FALSE)</f>
        <v>228</v>
      </c>
      <c r="H33" s="4">
        <f t="shared" si="2"/>
        <v>1717.6</v>
      </c>
      <c r="I33" s="4">
        <f t="shared" si="3"/>
        <v>23803</v>
      </c>
      <c r="J33" s="4">
        <f t="shared" si="9"/>
        <v>7099.3860000000004</v>
      </c>
      <c r="K33" s="4">
        <f t="shared" si="4"/>
        <v>2023</v>
      </c>
      <c r="L33" s="4">
        <f t="shared" si="5"/>
        <v>32925.385999999999</v>
      </c>
      <c r="M33" s="23">
        <f t="shared" si="6"/>
        <v>9122.3860000000004</v>
      </c>
      <c r="N33" s="20" t="s">
        <v>23</v>
      </c>
    </row>
    <row r="34" spans="1:14" s="6" customFormat="1" x14ac:dyDescent="0.2">
      <c r="A34" s="30" t="s">
        <v>24</v>
      </c>
      <c r="B34" s="16">
        <f>VLOOKUP('2019'!$A34,'CCNL Economico 2022'!$A$7:$D$38,4,FALSE)</f>
        <v>19733.830000000002</v>
      </c>
      <c r="C34" s="33">
        <f t="shared" si="0"/>
        <v>13400.870000000003</v>
      </c>
      <c r="D34" s="4"/>
      <c r="E34" s="4">
        <f>6332.96</f>
        <v>6332.96</v>
      </c>
      <c r="F34" s="4">
        <f>VLOOKUP($A34,'CCNL Economico 2022'!$Q$7:$S$37,3,FALSE)</f>
        <v>1246.1599999999999</v>
      </c>
      <c r="G34" s="4">
        <f>VLOOKUP($A34,'CCNL Economico 2022'!$A$7:$E$38,5,FALSE)</f>
        <v>264</v>
      </c>
      <c r="H34" s="4">
        <f t="shared" si="2"/>
        <v>1644.49</v>
      </c>
      <c r="I34" s="4">
        <f t="shared" si="3"/>
        <v>22888.480000000003</v>
      </c>
      <c r="J34" s="4">
        <f t="shared" si="9"/>
        <v>6824.0826240000015</v>
      </c>
      <c r="K34" s="4">
        <f t="shared" si="4"/>
        <v>1946</v>
      </c>
      <c r="L34" s="4">
        <f t="shared" si="5"/>
        <v>31658.562624000006</v>
      </c>
      <c r="M34" s="23">
        <f t="shared" si="6"/>
        <v>8770.0826240000024</v>
      </c>
      <c r="N34" s="20" t="s">
        <v>24</v>
      </c>
    </row>
    <row r="35" spans="1:14" s="6" customFormat="1" x14ac:dyDescent="0.2">
      <c r="A35" s="27" t="s">
        <v>25</v>
      </c>
      <c r="B35" s="16">
        <f>VLOOKUP('2019'!$A35,'CCNL Economico 2022'!$A$7:$D$38,4,FALSE)</f>
        <v>18896.95</v>
      </c>
      <c r="C35" s="33">
        <f t="shared" si="0"/>
        <v>12605.810000000001</v>
      </c>
      <c r="D35" s="4"/>
      <c r="E35" s="4">
        <f>6291.14</f>
        <v>6291.14</v>
      </c>
      <c r="F35" s="4">
        <f>VLOOKUP($A35,'CCNL Economico 2022'!$Q$7:$S$37,3,FALSE)</f>
        <v>1246.1599999999999</v>
      </c>
      <c r="G35" s="4">
        <f>VLOOKUP($A35,'CCNL Economico 2022'!$A$7:$E$38,5,FALSE)</f>
        <v>300</v>
      </c>
      <c r="H35" s="4">
        <f t="shared" si="2"/>
        <v>1574.75</v>
      </c>
      <c r="I35" s="4">
        <f t="shared" si="3"/>
        <v>22017.86</v>
      </c>
      <c r="J35" s="4">
        <f t="shared" si="9"/>
        <v>6561.896568000001</v>
      </c>
      <c r="K35" s="4">
        <f t="shared" si="4"/>
        <v>1872</v>
      </c>
      <c r="L35" s="4">
        <f t="shared" si="5"/>
        <v>30451.756568000001</v>
      </c>
      <c r="M35" s="23">
        <f t="shared" si="6"/>
        <v>8433.8965680000001</v>
      </c>
      <c r="N35" s="20" t="s">
        <v>25</v>
      </c>
    </row>
    <row r="36" spans="1:14" s="6" customFormat="1" ht="13.5" thickBot="1" x14ac:dyDescent="0.25">
      <c r="A36" s="31" t="s">
        <v>26</v>
      </c>
      <c r="B36" s="17">
        <f>VLOOKUP('2019'!$A36,'CCNL Economico 2022'!$A$7:$D$38,4,FALSE)</f>
        <v>17777.3</v>
      </c>
      <c r="C36" s="35">
        <f t="shared" si="0"/>
        <v>11540.779999999999</v>
      </c>
      <c r="D36" s="5"/>
      <c r="E36" s="5">
        <f>6236.52</f>
        <v>6236.52</v>
      </c>
      <c r="F36" s="5">
        <f>VLOOKUP($A36,'CCNL Economico 2022'!$Q$7:$S$37,3,FALSE)</f>
        <v>1246.1599999999999</v>
      </c>
      <c r="G36" s="5">
        <f>VLOOKUP($A36,'CCNL Economico 2022'!$A$7:$E$38,5,FALSE)</f>
        <v>336</v>
      </c>
      <c r="H36" s="5">
        <f t="shared" si="2"/>
        <v>1481.44</v>
      </c>
      <c r="I36" s="5">
        <f t="shared" si="3"/>
        <v>20840.899999999998</v>
      </c>
      <c r="J36" s="5">
        <f t="shared" si="9"/>
        <v>6208.1761199999992</v>
      </c>
      <c r="K36" s="5">
        <f t="shared" si="4"/>
        <v>1771</v>
      </c>
      <c r="L36" s="5">
        <f t="shared" si="5"/>
        <v>28820.076119999998</v>
      </c>
      <c r="M36" s="24">
        <f t="shared" si="6"/>
        <v>7979.1761199999992</v>
      </c>
      <c r="N36" s="21" t="s">
        <v>26</v>
      </c>
    </row>
    <row r="39" spans="1:14" s="6" customFormat="1" x14ac:dyDescent="0.2">
      <c r="G39" s="18"/>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5EA0-22E2-43A7-8907-BBA7B3C90DE5}">
  <sheetPr codeName="Foglio4"/>
  <dimension ref="A1:O39"/>
  <sheetViews>
    <sheetView zoomScaleNormal="100" workbookViewId="0">
      <selection activeCell="A2" sqref="A2"/>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0.28515625" style="6" customWidth="1"/>
    <col min="8" max="8" width="9.7109375" style="6" bestFit="1" customWidth="1"/>
    <col min="9" max="9" width="10.85546875" style="6" customWidth="1"/>
    <col min="10" max="10" width="10.7109375" style="6" customWidth="1"/>
    <col min="11" max="11" width="12" style="6" customWidth="1"/>
    <col min="12" max="13" width="10.7109375" style="6" customWidth="1"/>
    <col min="14" max="14" width="6.28515625" style="6" customWidth="1"/>
    <col min="15" max="15" width="9.140625" style="6"/>
    <col min="16" max="16384" width="9.140625" style="9"/>
  </cols>
  <sheetData>
    <row r="1" spans="1:15" ht="15.75" x14ac:dyDescent="0.2">
      <c r="B1" s="8"/>
    </row>
    <row r="2" spans="1:15" ht="18.75" x14ac:dyDescent="0.2">
      <c r="A2" s="2" t="s">
        <v>214</v>
      </c>
    </row>
    <row r="3" spans="1:15" x14ac:dyDescent="0.2">
      <c r="A3" s="10" t="s">
        <v>96</v>
      </c>
      <c r="B3" s="10"/>
      <c r="C3" s="10"/>
      <c r="D3" s="10"/>
    </row>
    <row r="4" spans="1:15" ht="13.5" thickBot="1" x14ac:dyDescent="0.25">
      <c r="A4" s="11"/>
    </row>
    <row r="5" spans="1:15" s="14" customFormat="1" ht="64.5" thickBot="1" x14ac:dyDescent="0.25">
      <c r="A5" s="12" t="s">
        <v>27</v>
      </c>
      <c r="B5" s="32" t="s">
        <v>46</v>
      </c>
      <c r="C5" s="7" t="s">
        <v>33</v>
      </c>
      <c r="D5" s="7" t="s">
        <v>36</v>
      </c>
      <c r="E5" s="7" t="s">
        <v>35</v>
      </c>
      <c r="F5" s="7" t="s">
        <v>42</v>
      </c>
      <c r="G5" s="7" t="s">
        <v>41</v>
      </c>
      <c r="H5" s="7" t="s">
        <v>34</v>
      </c>
      <c r="I5" s="7" t="s">
        <v>32</v>
      </c>
      <c r="J5" s="7" t="s">
        <v>37</v>
      </c>
      <c r="K5" s="7" t="s">
        <v>38</v>
      </c>
      <c r="L5" s="7" t="s">
        <v>39</v>
      </c>
      <c r="M5" s="13" t="s">
        <v>40</v>
      </c>
      <c r="N5" s="12" t="s">
        <v>27</v>
      </c>
      <c r="O5" s="25"/>
    </row>
    <row r="6" spans="1:15" x14ac:dyDescent="0.2">
      <c r="A6" s="26" t="s">
        <v>43</v>
      </c>
      <c r="B6" s="15">
        <f>VLOOKUP('2019'!$A6,'CCNL Economico 2022'!$A$7:$D$38,4,FALSE)</f>
        <v>37908.32</v>
      </c>
      <c r="C6" s="34">
        <f t="shared" ref="C6:C36" si="0">B6-E6</f>
        <v>31090.09</v>
      </c>
      <c r="D6" s="3">
        <v>3099</v>
      </c>
      <c r="E6" s="3">
        <f>6818.23</f>
        <v>6818.23</v>
      </c>
      <c r="F6" s="3">
        <f>VLOOKUP($A6,'CCNL Economico 2022'!$Q$7:$S$37,3,FALSE)</f>
        <v>3821.77</v>
      </c>
      <c r="G6" s="3">
        <f>VLOOKUP($A6,'CCNL Economico 2022'!$A$7:$E$38,5,FALSE)</f>
        <v>0</v>
      </c>
      <c r="H6" s="3">
        <f>ROUND((B6)/12,2)</f>
        <v>3159.03</v>
      </c>
      <c r="I6" s="3">
        <f>B6+D6+G6+H6+F6</f>
        <v>47988.119999999995</v>
      </c>
      <c r="J6" s="3">
        <f t="shared" ref="J6:J13" si="1">ROUND((C6)*34.24%+D6*24.2%,2)+ROUND((F6*29.88%+H6*29.88%+E6*29.88%),2)</f>
        <v>15518.35</v>
      </c>
      <c r="K6" s="3">
        <f>ROUND(I6*8.5%,0)</f>
        <v>4079</v>
      </c>
      <c r="L6" s="3">
        <f>I6+J6+K6</f>
        <v>67585.47</v>
      </c>
      <c r="M6" s="22">
        <f>J6+K6</f>
        <v>19597.349999999999</v>
      </c>
      <c r="N6" s="15" t="str">
        <f>A6</f>
        <v>EP8</v>
      </c>
    </row>
    <row r="7" spans="1:15" x14ac:dyDescent="0.2">
      <c r="A7" s="27" t="s">
        <v>0</v>
      </c>
      <c r="B7" s="16">
        <f>VLOOKUP('2019'!$A7,'CCNL Economico 2022'!$A$7:$D$38,4,FALSE)</f>
        <v>36808.32</v>
      </c>
      <c r="C7" s="33">
        <f>B7-E7</f>
        <v>29990.09</v>
      </c>
      <c r="D7" s="4">
        <v>3099</v>
      </c>
      <c r="E7" s="4">
        <f>6818.23</f>
        <v>6818.23</v>
      </c>
      <c r="F7" s="4">
        <f>VLOOKUP($A7,'CCNL Economico 2022'!$Q$7:$S$37,3,FALSE)</f>
        <v>3821.77</v>
      </c>
      <c r="G7" s="4">
        <f>VLOOKUP($A7,'CCNL Economico 2022'!$A$7:$E$38,5,FALSE)</f>
        <v>0</v>
      </c>
      <c r="H7" s="4">
        <f>ROUND((B7)/12,2)</f>
        <v>3067.36</v>
      </c>
      <c r="I7" s="4">
        <f>B7+D7+G7+H7+F7</f>
        <v>46796.45</v>
      </c>
      <c r="J7" s="4">
        <f t="shared" si="1"/>
        <v>15114.32</v>
      </c>
      <c r="K7" s="4">
        <f>ROUND(I7*8.5%,0)</f>
        <v>3978</v>
      </c>
      <c r="L7" s="4">
        <f>I7+J7+K7</f>
        <v>65888.76999999999</v>
      </c>
      <c r="M7" s="23">
        <f>J7+K7</f>
        <v>19092.32</v>
      </c>
      <c r="N7" s="16" t="str">
        <f>A7</f>
        <v>EP7</v>
      </c>
    </row>
    <row r="8" spans="1:15" x14ac:dyDescent="0.2">
      <c r="A8" s="28" t="s">
        <v>1</v>
      </c>
      <c r="B8" s="16">
        <f>VLOOKUP('2019'!$A8,'CCNL Economico 2022'!$A$7:$D$38,4,FALSE)</f>
        <v>35398.949999999997</v>
      </c>
      <c r="C8" s="33">
        <f t="shared" si="0"/>
        <v>28580.719999999998</v>
      </c>
      <c r="D8" s="4">
        <v>3099</v>
      </c>
      <c r="E8" s="4">
        <f>6818.23</f>
        <v>6818.23</v>
      </c>
      <c r="F8" s="4">
        <f>VLOOKUP($A8,'CCNL Economico 2022'!$Q$7:$S$37,3,FALSE)</f>
        <v>3821.77</v>
      </c>
      <c r="G8" s="4">
        <f>VLOOKUP($A8,'CCNL Economico 2022'!$A$7:$E$38,5,FALSE)</f>
        <v>0</v>
      </c>
      <c r="H8" s="4">
        <f t="shared" ref="H8:H36" si="2">ROUND((B8)/12,2)</f>
        <v>2949.91</v>
      </c>
      <c r="I8" s="4">
        <f t="shared" ref="I8:I36" si="3">B8+D8+G8+H8+F8</f>
        <v>45269.63</v>
      </c>
      <c r="J8" s="4">
        <f t="shared" si="1"/>
        <v>14596.67</v>
      </c>
      <c r="K8" s="4">
        <f>ROUND(I8*8.5%,0)</f>
        <v>3848</v>
      </c>
      <c r="L8" s="4">
        <f>I8+J8+K8</f>
        <v>63714.299999999996</v>
      </c>
      <c r="M8" s="23">
        <f>J8+K8</f>
        <v>18444.669999999998</v>
      </c>
      <c r="N8" s="16" t="str">
        <f>A8</f>
        <v>EP6</v>
      </c>
    </row>
    <row r="9" spans="1:15" x14ac:dyDescent="0.2">
      <c r="A9" s="28" t="s">
        <v>2</v>
      </c>
      <c r="B9" s="16">
        <f>VLOOKUP('2019'!$A9,'CCNL Economico 2022'!$A$7:$D$38,4,FALSE)</f>
        <v>34049.050000000003</v>
      </c>
      <c r="C9" s="33">
        <f t="shared" si="0"/>
        <v>27230.820000000003</v>
      </c>
      <c r="D9" s="4">
        <v>3099</v>
      </c>
      <c r="E9" s="4">
        <f>6818.23</f>
        <v>6818.23</v>
      </c>
      <c r="F9" s="4">
        <f>VLOOKUP($A9,'CCNL Economico 2022'!$Q$7:$S$37,3,FALSE)</f>
        <v>3821.77</v>
      </c>
      <c r="G9" s="4">
        <f>VLOOKUP($A9,'CCNL Economico 2022'!$A$7:$E$38,5,FALSE)</f>
        <v>0</v>
      </c>
      <c r="H9" s="4">
        <f t="shared" si="2"/>
        <v>2837.42</v>
      </c>
      <c r="I9" s="4">
        <f t="shared" si="3"/>
        <v>43807.24</v>
      </c>
      <c r="J9" s="4">
        <f t="shared" si="1"/>
        <v>14100.84</v>
      </c>
      <c r="K9" s="4">
        <f t="shared" ref="K9:K36" si="4">ROUND(I9*8.5%,0)</f>
        <v>3724</v>
      </c>
      <c r="L9" s="4">
        <f t="shared" ref="L9:L36" si="5">I9+J9+K9</f>
        <v>61632.08</v>
      </c>
      <c r="M9" s="23">
        <f t="shared" ref="M9:M36" si="6">J9+K9</f>
        <v>17824.84</v>
      </c>
      <c r="N9" s="16" t="s">
        <v>2</v>
      </c>
    </row>
    <row r="10" spans="1:15" x14ac:dyDescent="0.2">
      <c r="A10" s="27" t="s">
        <v>3</v>
      </c>
      <c r="B10" s="16">
        <f>VLOOKUP('2019'!$A10,'CCNL Economico 2022'!$A$7:$D$38,4,FALSE)</f>
        <v>32592.67</v>
      </c>
      <c r="C10" s="33">
        <f t="shared" si="0"/>
        <v>25774.44</v>
      </c>
      <c r="D10" s="4">
        <v>3099</v>
      </c>
      <c r="E10" s="4">
        <f>6818.23</f>
        <v>6818.23</v>
      </c>
      <c r="F10" s="4">
        <f>VLOOKUP($A10,'CCNL Economico 2022'!$Q$7:$S$37,3,FALSE)</f>
        <v>3821.77</v>
      </c>
      <c r="G10" s="4">
        <f>VLOOKUP($A10,'CCNL Economico 2022'!$A$7:$E$38,5,FALSE)</f>
        <v>0</v>
      </c>
      <c r="H10" s="4">
        <f t="shared" si="2"/>
        <v>2716.06</v>
      </c>
      <c r="I10" s="4">
        <f t="shared" si="3"/>
        <v>42229.499999999993</v>
      </c>
      <c r="J10" s="4">
        <f t="shared" si="1"/>
        <v>13565.919999999998</v>
      </c>
      <c r="K10" s="4">
        <f t="shared" si="4"/>
        <v>3590</v>
      </c>
      <c r="L10" s="4">
        <f t="shared" si="5"/>
        <v>59385.419999999991</v>
      </c>
      <c r="M10" s="23">
        <f t="shared" si="6"/>
        <v>17155.919999999998</v>
      </c>
      <c r="N10" s="16" t="s">
        <v>3</v>
      </c>
    </row>
    <row r="11" spans="1:15" x14ac:dyDescent="0.2">
      <c r="A11" s="28" t="s">
        <v>4</v>
      </c>
      <c r="B11" s="16">
        <f>VLOOKUP('2019'!$A11,'CCNL Economico 2022'!$A$7:$D$38,4,FALSE)</f>
        <v>30208.78</v>
      </c>
      <c r="C11" s="33">
        <f t="shared" si="0"/>
        <v>23526.519999999997</v>
      </c>
      <c r="D11" s="4">
        <v>3099</v>
      </c>
      <c r="E11" s="4">
        <f>6682.26</f>
        <v>6682.26</v>
      </c>
      <c r="F11" s="4">
        <f>VLOOKUP($A11,'CCNL Economico 2022'!$Q$7:$S$37,3,FALSE)</f>
        <v>2909.4</v>
      </c>
      <c r="G11" s="4">
        <f>VLOOKUP($A11,'CCNL Economico 2022'!$A$7:$E$38,5,FALSE)</f>
        <v>0</v>
      </c>
      <c r="H11" s="4">
        <f t="shared" si="2"/>
        <v>2517.4</v>
      </c>
      <c r="I11" s="4">
        <f t="shared" si="3"/>
        <v>38734.58</v>
      </c>
      <c r="J11" s="4">
        <f t="shared" si="1"/>
        <v>12423.630000000001</v>
      </c>
      <c r="K11" s="4">
        <f t="shared" si="4"/>
        <v>3292</v>
      </c>
      <c r="L11" s="4">
        <f t="shared" si="5"/>
        <v>54450.210000000006</v>
      </c>
      <c r="M11" s="23">
        <f t="shared" si="6"/>
        <v>15715.630000000001</v>
      </c>
      <c r="N11" s="16" t="s">
        <v>4</v>
      </c>
    </row>
    <row r="12" spans="1:15" x14ac:dyDescent="0.2">
      <c r="A12" s="28" t="s">
        <v>5</v>
      </c>
      <c r="B12" s="16">
        <f>VLOOKUP('2019'!$A12,'CCNL Economico 2022'!$A$7:$D$38,4,FALSE)</f>
        <v>28593.439999999999</v>
      </c>
      <c r="C12" s="33">
        <f t="shared" si="0"/>
        <v>21911.18</v>
      </c>
      <c r="D12" s="4">
        <v>3099</v>
      </c>
      <c r="E12" s="4">
        <f>6682.26</f>
        <v>6682.26</v>
      </c>
      <c r="F12" s="4">
        <f>VLOOKUP($A12,'CCNL Economico 2022'!$Q$7:$S$37,3,FALSE)</f>
        <v>2909.4</v>
      </c>
      <c r="G12" s="4">
        <f>VLOOKUP($A12,'CCNL Economico 2022'!$A$7:$E$38,5,FALSE)</f>
        <v>0</v>
      </c>
      <c r="H12" s="4">
        <f t="shared" si="2"/>
        <v>2382.79</v>
      </c>
      <c r="I12" s="4">
        <f t="shared" si="3"/>
        <v>36984.629999999997</v>
      </c>
      <c r="J12" s="4">
        <f t="shared" si="1"/>
        <v>11830.32</v>
      </c>
      <c r="K12" s="4">
        <f t="shared" si="4"/>
        <v>3144</v>
      </c>
      <c r="L12" s="4">
        <f t="shared" si="5"/>
        <v>51958.95</v>
      </c>
      <c r="M12" s="23">
        <f t="shared" si="6"/>
        <v>14974.32</v>
      </c>
      <c r="N12" s="16" t="s">
        <v>5</v>
      </c>
    </row>
    <row r="13" spans="1:15" ht="13.5" thickBot="1" x14ac:dyDescent="0.25">
      <c r="A13" s="29" t="s">
        <v>6</v>
      </c>
      <c r="B13" s="36">
        <f>VLOOKUP('2019'!$A13,'CCNL Economico 2022'!$A$7:$D$38,4,FALSE)</f>
        <v>26890.05</v>
      </c>
      <c r="C13" s="35">
        <f t="shared" si="0"/>
        <v>20207.79</v>
      </c>
      <c r="D13" s="5">
        <v>3099</v>
      </c>
      <c r="E13" s="5">
        <f>6682.26</f>
        <v>6682.26</v>
      </c>
      <c r="F13" s="5">
        <f>VLOOKUP($A13,'CCNL Economico 2022'!$Q$7:$S$37,3,FALSE)</f>
        <v>2909.4</v>
      </c>
      <c r="G13" s="5">
        <f>VLOOKUP($A13,'CCNL Economico 2022'!$A$7:$E$38,5,FALSE)</f>
        <v>0</v>
      </c>
      <c r="H13" s="5">
        <f t="shared" si="2"/>
        <v>2240.84</v>
      </c>
      <c r="I13" s="5">
        <f t="shared" si="3"/>
        <v>35139.29</v>
      </c>
      <c r="J13" s="5">
        <f t="shared" si="1"/>
        <v>11204.66</v>
      </c>
      <c r="K13" s="5">
        <f t="shared" si="4"/>
        <v>2987</v>
      </c>
      <c r="L13" s="5">
        <f t="shared" si="5"/>
        <v>49330.95</v>
      </c>
      <c r="M13" s="24">
        <f t="shared" si="6"/>
        <v>14191.66</v>
      </c>
      <c r="N13" s="17" t="s">
        <v>6</v>
      </c>
    </row>
    <row r="14" spans="1:15" x14ac:dyDescent="0.2">
      <c r="A14" s="26" t="s">
        <v>44</v>
      </c>
      <c r="B14" s="15">
        <f>VLOOKUP('2019'!$A14,'CCNL Economico 2022'!$A$7:$D$38,4,FALSE)</f>
        <v>31062.06</v>
      </c>
      <c r="C14" s="34">
        <f t="shared" si="0"/>
        <v>24516.82</v>
      </c>
      <c r="D14" s="3"/>
      <c r="E14" s="3">
        <f>6545.24</f>
        <v>6545.24</v>
      </c>
      <c r="F14" s="3">
        <f>VLOOKUP($A14,'CCNL Economico 2022'!$Q$7:$S$37,3,FALSE)</f>
        <v>2422.16</v>
      </c>
      <c r="G14" s="3">
        <f>VLOOKUP($A14,'CCNL Economico 2022'!$A$7:$E$38,5,FALSE)</f>
        <v>0</v>
      </c>
      <c r="H14" s="3">
        <f t="shared" si="2"/>
        <v>2588.5100000000002</v>
      </c>
      <c r="I14" s="3">
        <f t="shared" si="3"/>
        <v>36072.729999999996</v>
      </c>
      <c r="J14" s="3">
        <f>+I14*29.88%</f>
        <v>10778.531723999999</v>
      </c>
      <c r="K14" s="3">
        <f>ROUND(I14*8.5%,0)</f>
        <v>3066</v>
      </c>
      <c r="L14" s="3">
        <f>I14+J14+K14</f>
        <v>49917.261723999996</v>
      </c>
      <c r="M14" s="22">
        <f>J14+K14</f>
        <v>13844.531723999999</v>
      </c>
      <c r="N14" s="19" t="str">
        <f>A14</f>
        <v>D8</v>
      </c>
    </row>
    <row r="15" spans="1:15" x14ac:dyDescent="0.2">
      <c r="A15" s="27" t="s">
        <v>7</v>
      </c>
      <c r="B15" s="16">
        <f>VLOOKUP('2019'!$A15,'CCNL Economico 2022'!$A$7:$D$38,4,FALSE)</f>
        <v>30162.06</v>
      </c>
      <c r="C15" s="33">
        <f>B15-E15</f>
        <v>23616.82</v>
      </c>
      <c r="D15" s="4"/>
      <c r="E15" s="4">
        <f t="shared" ref="E15:E21" si="7">6545.24</f>
        <v>6545.24</v>
      </c>
      <c r="F15" s="4">
        <f>VLOOKUP($A15,'CCNL Economico 2022'!$Q$7:$S$37,3,FALSE)</f>
        <v>2422.16</v>
      </c>
      <c r="G15" s="4">
        <f>VLOOKUP($A15,'CCNL Economico 2022'!$A$7:$E$38,5,FALSE)</f>
        <v>0</v>
      </c>
      <c r="H15" s="4">
        <f>ROUND((B15)/12,2)</f>
        <v>2513.5100000000002</v>
      </c>
      <c r="I15" s="4">
        <f>B15+D15+G15+H15+F15</f>
        <v>35097.729999999996</v>
      </c>
      <c r="J15" s="4">
        <f t="shared" ref="J15:J19" si="8">+I15*29.88%</f>
        <v>10487.201723999999</v>
      </c>
      <c r="K15" s="4">
        <f>ROUND(I15*8.5%,0)</f>
        <v>2983</v>
      </c>
      <c r="L15" s="4">
        <f>I15+J15+K15</f>
        <v>48567.931723999995</v>
      </c>
      <c r="M15" s="23">
        <f>J15+K15</f>
        <v>13470.201723999999</v>
      </c>
      <c r="N15" s="20" t="str">
        <f>A15</f>
        <v>D7</v>
      </c>
    </row>
    <row r="16" spans="1:15" x14ac:dyDescent="0.2">
      <c r="A16" s="28" t="s">
        <v>8</v>
      </c>
      <c r="B16" s="16">
        <f>VLOOKUP('2019'!$A16,'CCNL Economico 2022'!$A$7:$D$38,4,FALSE)</f>
        <v>29105.68</v>
      </c>
      <c r="C16" s="33">
        <f t="shared" si="0"/>
        <v>22560.440000000002</v>
      </c>
      <c r="D16" s="4"/>
      <c r="E16" s="4">
        <f t="shared" si="7"/>
        <v>6545.24</v>
      </c>
      <c r="F16" s="4">
        <f>VLOOKUP($A16,'CCNL Economico 2022'!$Q$7:$S$37,3,FALSE)</f>
        <v>2422.16</v>
      </c>
      <c r="G16" s="4">
        <f>VLOOKUP($A16,'CCNL Economico 2022'!$A$7:$E$38,5,FALSE)</f>
        <v>0</v>
      </c>
      <c r="H16" s="4">
        <f t="shared" si="2"/>
        <v>2425.4699999999998</v>
      </c>
      <c r="I16" s="4">
        <f t="shared" si="3"/>
        <v>33953.31</v>
      </c>
      <c r="J16" s="4">
        <f t="shared" si="8"/>
        <v>10145.249028</v>
      </c>
      <c r="K16" s="4">
        <f>ROUND(I16*8.5%,0)</f>
        <v>2886</v>
      </c>
      <c r="L16" s="4">
        <f>I16+J16+K16</f>
        <v>46984.559027999996</v>
      </c>
      <c r="M16" s="23">
        <f>J16+K16</f>
        <v>13031.249028</v>
      </c>
      <c r="N16" s="20" t="str">
        <f>A16</f>
        <v>D6</v>
      </c>
    </row>
    <row r="17" spans="1:14" x14ac:dyDescent="0.2">
      <c r="A17" s="28" t="s">
        <v>9</v>
      </c>
      <c r="B17" s="16">
        <f>VLOOKUP('2019'!$A17,'CCNL Economico 2022'!$A$7:$D$38,4,FALSE)</f>
        <v>28091.7</v>
      </c>
      <c r="C17" s="33">
        <f t="shared" si="0"/>
        <v>21546.46</v>
      </c>
      <c r="D17" s="4"/>
      <c r="E17" s="4">
        <f t="shared" si="7"/>
        <v>6545.24</v>
      </c>
      <c r="F17" s="4">
        <f>VLOOKUP($A17,'CCNL Economico 2022'!$Q$7:$S$37,3,FALSE)</f>
        <v>2422.16</v>
      </c>
      <c r="G17" s="4">
        <f>VLOOKUP($A17,'CCNL Economico 2022'!$A$7:$E$38,5,FALSE)</f>
        <v>0</v>
      </c>
      <c r="H17" s="4">
        <f t="shared" si="2"/>
        <v>2340.98</v>
      </c>
      <c r="I17" s="4">
        <f t="shared" si="3"/>
        <v>32854.839999999997</v>
      </c>
      <c r="J17" s="4">
        <f t="shared" si="8"/>
        <v>9817.0261919999994</v>
      </c>
      <c r="K17" s="4">
        <f t="shared" si="4"/>
        <v>2793</v>
      </c>
      <c r="L17" s="4">
        <f t="shared" si="5"/>
        <v>45464.866191999994</v>
      </c>
      <c r="M17" s="23">
        <f t="shared" si="6"/>
        <v>12610.026191999999</v>
      </c>
      <c r="N17" s="20" t="s">
        <v>9</v>
      </c>
    </row>
    <row r="18" spans="1:14" x14ac:dyDescent="0.2">
      <c r="A18" s="28" t="s">
        <v>10</v>
      </c>
      <c r="B18" s="16">
        <f>VLOOKUP('2019'!$A18,'CCNL Economico 2022'!$A$7:$D$38,4,FALSE)</f>
        <v>27123.48</v>
      </c>
      <c r="C18" s="33">
        <f t="shared" si="0"/>
        <v>20578.239999999998</v>
      </c>
      <c r="D18" s="4"/>
      <c r="E18" s="4">
        <f t="shared" si="7"/>
        <v>6545.24</v>
      </c>
      <c r="F18" s="4">
        <f>VLOOKUP($A18,'CCNL Economico 2022'!$Q$7:$S$37,3,FALSE)</f>
        <v>2422.16</v>
      </c>
      <c r="G18" s="4">
        <f>VLOOKUP($A18,'CCNL Economico 2022'!$A$7:$E$38,5,FALSE)</f>
        <v>0</v>
      </c>
      <c r="H18" s="4">
        <f t="shared" si="2"/>
        <v>2260.29</v>
      </c>
      <c r="I18" s="4">
        <f t="shared" si="3"/>
        <v>31805.93</v>
      </c>
      <c r="J18" s="4">
        <f t="shared" si="8"/>
        <v>9503.6118839999999</v>
      </c>
      <c r="K18" s="4">
        <f t="shared" si="4"/>
        <v>2704</v>
      </c>
      <c r="L18" s="4">
        <f t="shared" si="5"/>
        <v>44013.541883999998</v>
      </c>
      <c r="M18" s="23">
        <f t="shared" si="6"/>
        <v>12207.611884</v>
      </c>
      <c r="N18" s="20" t="s">
        <v>10</v>
      </c>
    </row>
    <row r="19" spans="1:14" s="6" customFormat="1" x14ac:dyDescent="0.2">
      <c r="A19" s="28" t="s">
        <v>11</v>
      </c>
      <c r="B19" s="16">
        <f>VLOOKUP('2019'!$A19,'CCNL Economico 2022'!$A$7:$D$38,4,FALSE)</f>
        <v>25811.93</v>
      </c>
      <c r="C19" s="33">
        <f t="shared" si="0"/>
        <v>19266.690000000002</v>
      </c>
      <c r="D19" s="4"/>
      <c r="E19" s="4">
        <f t="shared" si="7"/>
        <v>6545.24</v>
      </c>
      <c r="F19" s="4">
        <f>VLOOKUP($A19,'CCNL Economico 2022'!$Q$7:$S$37,3,FALSE)</f>
        <v>2422.16</v>
      </c>
      <c r="G19" s="4">
        <f>VLOOKUP($A19,'CCNL Economico 2022'!$A$7:$E$38,5,FALSE)</f>
        <v>0</v>
      </c>
      <c r="H19" s="4">
        <f t="shared" si="2"/>
        <v>2150.9899999999998</v>
      </c>
      <c r="I19" s="4">
        <f t="shared" si="3"/>
        <v>30385.079999999998</v>
      </c>
      <c r="J19" s="4">
        <f t="shared" si="8"/>
        <v>9079.0619040000001</v>
      </c>
      <c r="K19" s="4">
        <f t="shared" si="4"/>
        <v>2583</v>
      </c>
      <c r="L19" s="4">
        <f t="shared" si="5"/>
        <v>42047.141903999996</v>
      </c>
      <c r="M19" s="23">
        <f t="shared" si="6"/>
        <v>11662.061904</v>
      </c>
      <c r="N19" s="20" t="s">
        <v>11</v>
      </c>
    </row>
    <row r="20" spans="1:14" s="6" customFormat="1" x14ac:dyDescent="0.2">
      <c r="A20" s="28" t="s">
        <v>12</v>
      </c>
      <c r="B20" s="16">
        <f>VLOOKUP('2019'!$A20,'CCNL Economico 2022'!$A$7:$D$38,4,FALSE)</f>
        <v>24736.959999999999</v>
      </c>
      <c r="C20" s="33">
        <f t="shared" si="0"/>
        <v>18191.72</v>
      </c>
      <c r="D20" s="4"/>
      <c r="E20" s="4">
        <f t="shared" si="7"/>
        <v>6545.24</v>
      </c>
      <c r="F20" s="4">
        <f>VLOOKUP($A20,'CCNL Economico 2022'!$Q$7:$S$37,3,FALSE)</f>
        <v>2422.16</v>
      </c>
      <c r="G20" s="4">
        <f>VLOOKUP($A20,'CCNL Economico 2022'!$A$7:$E$38,5,FALSE)</f>
        <v>84</v>
      </c>
      <c r="H20" s="4">
        <f t="shared" si="2"/>
        <v>2061.41</v>
      </c>
      <c r="I20" s="4">
        <f t="shared" si="3"/>
        <v>29304.53</v>
      </c>
      <c r="J20" s="4">
        <f>+(+I20-G20)*29.88%+G20*24.2%</f>
        <v>8751.422364</v>
      </c>
      <c r="K20" s="4">
        <f t="shared" si="4"/>
        <v>2491</v>
      </c>
      <c r="L20" s="4">
        <f t="shared" si="5"/>
        <v>40546.952363999997</v>
      </c>
      <c r="M20" s="23">
        <f t="shared" si="6"/>
        <v>11242.422364</v>
      </c>
      <c r="N20" s="20" t="s">
        <v>12</v>
      </c>
    </row>
    <row r="21" spans="1:14" s="6" customFormat="1" ht="13.5" thickBot="1" x14ac:dyDescent="0.25">
      <c r="A21" s="29" t="s">
        <v>13</v>
      </c>
      <c r="B21" s="36">
        <f>VLOOKUP('2019'!$A21,'CCNL Economico 2022'!$A$7:$D$38,4,FALSE)</f>
        <v>23806.83</v>
      </c>
      <c r="C21" s="35">
        <f t="shared" si="0"/>
        <v>17261.590000000004</v>
      </c>
      <c r="D21" s="5"/>
      <c r="E21" s="5">
        <f t="shared" si="7"/>
        <v>6545.24</v>
      </c>
      <c r="F21" s="5">
        <f>VLOOKUP($A21,'CCNL Economico 2022'!$Q$7:$S$37,3,FALSE)</f>
        <v>2422.16</v>
      </c>
      <c r="G21" s="5">
        <f>VLOOKUP($A21,'CCNL Economico 2022'!$A$7:$E$38,5,FALSE)</f>
        <v>108</v>
      </c>
      <c r="H21" s="5">
        <f t="shared" si="2"/>
        <v>1983.9</v>
      </c>
      <c r="I21" s="5">
        <f t="shared" si="3"/>
        <v>28320.890000000003</v>
      </c>
      <c r="J21" s="5">
        <f t="shared" ref="J21:J36" si="9">+(+I21-G21)*29.88%+G21*24.2%</f>
        <v>8456.1475320000009</v>
      </c>
      <c r="K21" s="5">
        <f t="shared" si="4"/>
        <v>2407</v>
      </c>
      <c r="L21" s="5">
        <f t="shared" si="5"/>
        <v>39184.037532000002</v>
      </c>
      <c r="M21" s="24">
        <f t="shared" si="6"/>
        <v>10863.147532000001</v>
      </c>
      <c r="N21" s="21" t="s">
        <v>13</v>
      </c>
    </row>
    <row r="22" spans="1:14" s="6" customFormat="1" x14ac:dyDescent="0.2">
      <c r="A22" s="26" t="s">
        <v>45</v>
      </c>
      <c r="B22" s="15">
        <f>VLOOKUP('2019'!$A22,'CCNL Economico 2022'!$A$7:$D$38,4,FALSE)</f>
        <v>25774.46</v>
      </c>
      <c r="C22" s="34">
        <f t="shared" si="0"/>
        <v>19324.379999999997</v>
      </c>
      <c r="D22" s="3"/>
      <c r="E22" s="3">
        <f>6450.08</f>
        <v>6450.08</v>
      </c>
      <c r="F22" s="3">
        <f>VLOOKUP($A22,'CCNL Economico 2022'!$Q$7:$S$37,3,FALSE)</f>
        <v>1693.97</v>
      </c>
      <c r="G22" s="3">
        <f>VLOOKUP($A22,'CCNL Economico 2022'!$A$7:$E$38,5,FALSE)</f>
        <v>0</v>
      </c>
      <c r="H22" s="3">
        <f t="shared" si="2"/>
        <v>2147.87</v>
      </c>
      <c r="I22" s="3">
        <f t="shared" si="3"/>
        <v>29616.3</v>
      </c>
      <c r="J22" s="3">
        <f t="shared" si="9"/>
        <v>8849.3504400000002</v>
      </c>
      <c r="K22" s="3">
        <f>ROUND(I22*8.5%,0)</f>
        <v>2517</v>
      </c>
      <c r="L22" s="3">
        <f>I22+J22+K22</f>
        <v>40982.650439999998</v>
      </c>
      <c r="M22" s="22">
        <f>J22+K22</f>
        <v>11366.35044</v>
      </c>
      <c r="N22" s="19" t="str">
        <f>A22</f>
        <v>C8</v>
      </c>
    </row>
    <row r="23" spans="1:14" s="6" customFormat="1" x14ac:dyDescent="0.2">
      <c r="A23" s="27" t="s">
        <v>14</v>
      </c>
      <c r="B23" s="16">
        <f>VLOOKUP('2019'!$A23,'CCNL Economico 2022'!$A$7:$D$38,4,FALSE)</f>
        <v>24974.46</v>
      </c>
      <c r="C23" s="33">
        <f>B23-E23</f>
        <v>18524.379999999997</v>
      </c>
      <c r="D23" s="4"/>
      <c r="E23" s="4">
        <f>6450.08</f>
        <v>6450.08</v>
      </c>
      <c r="F23" s="4">
        <f>VLOOKUP($A23,'CCNL Economico 2022'!$Q$7:$S$37,3,FALSE)</f>
        <v>1693.97</v>
      </c>
      <c r="G23" s="4">
        <f>VLOOKUP($A23,'CCNL Economico 2022'!$A$7:$E$38,5,FALSE)</f>
        <v>60</v>
      </c>
      <c r="H23" s="4">
        <f>ROUND((B23)/12,2)</f>
        <v>2081.21</v>
      </c>
      <c r="I23" s="4">
        <f>B23+D23+G23+H23+F23</f>
        <v>28809.64</v>
      </c>
      <c r="J23" s="4">
        <f t="shared" si="9"/>
        <v>8604.912432000001</v>
      </c>
      <c r="K23" s="4">
        <f>ROUND(I23*8.5%,0)</f>
        <v>2449</v>
      </c>
      <c r="L23" s="4">
        <f>I23+J23+K23</f>
        <v>39863.552431999997</v>
      </c>
      <c r="M23" s="23">
        <f>J23+K23</f>
        <v>11053.912432000001</v>
      </c>
      <c r="N23" s="20" t="str">
        <f>A23</f>
        <v>C7</v>
      </c>
    </row>
    <row r="24" spans="1:14" s="6" customFormat="1" x14ac:dyDescent="0.2">
      <c r="A24" s="28" t="s">
        <v>15</v>
      </c>
      <c r="B24" s="16">
        <f>VLOOKUP('2019'!$A24,'CCNL Economico 2022'!$A$7:$D$38,4,FALSE)</f>
        <v>24185.16</v>
      </c>
      <c r="C24" s="33">
        <f t="shared" si="0"/>
        <v>17735.080000000002</v>
      </c>
      <c r="D24" s="4"/>
      <c r="E24" s="4">
        <f>6450.08</f>
        <v>6450.08</v>
      </c>
      <c r="F24" s="4">
        <f>VLOOKUP($A24,'CCNL Economico 2022'!$Q$7:$S$37,3,FALSE)</f>
        <v>1693.97</v>
      </c>
      <c r="G24" s="4">
        <f>VLOOKUP($A24,'CCNL Economico 2022'!$A$7:$E$38,5,FALSE)</f>
        <v>96</v>
      </c>
      <c r="H24" s="4">
        <f t="shared" si="2"/>
        <v>2015.43</v>
      </c>
      <c r="I24" s="4">
        <f t="shared" si="3"/>
        <v>27990.560000000001</v>
      </c>
      <c r="J24" s="4">
        <f t="shared" si="9"/>
        <v>8358.1265280000007</v>
      </c>
      <c r="K24" s="4">
        <f>ROUND(I24*8.5%,0)</f>
        <v>2379</v>
      </c>
      <c r="L24" s="4">
        <f>I24+J24+K24</f>
        <v>38727.686528000006</v>
      </c>
      <c r="M24" s="23">
        <f>J24+K24</f>
        <v>10737.126528000001</v>
      </c>
      <c r="N24" s="20" t="str">
        <f>A24</f>
        <v>C6</v>
      </c>
    </row>
    <row r="25" spans="1:14" s="6" customFormat="1" x14ac:dyDescent="0.2">
      <c r="A25" s="28" t="s">
        <v>16</v>
      </c>
      <c r="B25" s="16">
        <f>VLOOKUP('2019'!$A25,'CCNL Economico 2022'!$A$7:$D$38,4,FALSE)</f>
        <v>23424.12</v>
      </c>
      <c r="C25" s="33">
        <f t="shared" si="0"/>
        <v>16974.04</v>
      </c>
      <c r="D25" s="4"/>
      <c r="E25" s="4">
        <f>6450.08</f>
        <v>6450.08</v>
      </c>
      <c r="F25" s="4">
        <f>VLOOKUP($A25,'CCNL Economico 2022'!$Q$7:$S$37,3,FALSE)</f>
        <v>1693.97</v>
      </c>
      <c r="G25" s="4">
        <f>VLOOKUP($A25,'CCNL Economico 2022'!$A$7:$E$38,5,FALSE)</f>
        <v>120</v>
      </c>
      <c r="H25" s="4">
        <f t="shared" si="2"/>
        <v>1952.01</v>
      </c>
      <c r="I25" s="4">
        <f t="shared" si="3"/>
        <v>27190.1</v>
      </c>
      <c r="J25" s="4">
        <f t="shared" si="9"/>
        <v>8117.5858799999996</v>
      </c>
      <c r="K25" s="4">
        <f t="shared" si="4"/>
        <v>2311</v>
      </c>
      <c r="L25" s="4">
        <f>I25+J25+K25</f>
        <v>37618.685879999997</v>
      </c>
      <c r="M25" s="23">
        <f t="shared" si="6"/>
        <v>10428.585879999999</v>
      </c>
      <c r="N25" s="20" t="s">
        <v>16</v>
      </c>
    </row>
    <row r="26" spans="1:14" s="6" customFormat="1" x14ac:dyDescent="0.2">
      <c r="A26" s="27" t="s">
        <v>17</v>
      </c>
      <c r="B26" s="16">
        <f>VLOOKUP('2019'!$A26,'CCNL Economico 2022'!$A$7:$D$38,4,FALSE)</f>
        <v>22692.959999999999</v>
      </c>
      <c r="C26" s="33">
        <f t="shared" si="0"/>
        <v>16242.88</v>
      </c>
      <c r="D26" s="4"/>
      <c r="E26" s="4">
        <f>6450.08</f>
        <v>6450.08</v>
      </c>
      <c r="F26" s="4">
        <f>VLOOKUP($A26,'CCNL Economico 2022'!$Q$7:$S$37,3,FALSE)</f>
        <v>1693.97</v>
      </c>
      <c r="G26" s="4">
        <f>VLOOKUP($A26,'CCNL Economico 2022'!$A$7:$E$38,5,FALSE)</f>
        <v>156</v>
      </c>
      <c r="H26" s="4">
        <f t="shared" si="2"/>
        <v>1891.08</v>
      </c>
      <c r="I26" s="4">
        <f t="shared" si="3"/>
        <v>26434.010000000002</v>
      </c>
      <c r="J26" s="4">
        <f t="shared" si="9"/>
        <v>7889.6213880000014</v>
      </c>
      <c r="K26" s="4">
        <f t="shared" si="4"/>
        <v>2247</v>
      </c>
      <c r="L26" s="4">
        <f t="shared" si="5"/>
        <v>36570.631388000002</v>
      </c>
      <c r="M26" s="23">
        <f t="shared" si="6"/>
        <v>10136.621388000001</v>
      </c>
      <c r="N26" s="20" t="s">
        <v>17</v>
      </c>
    </row>
    <row r="27" spans="1:14" s="6" customFormat="1" x14ac:dyDescent="0.2">
      <c r="A27" s="28" t="s">
        <v>18</v>
      </c>
      <c r="B27" s="16">
        <f>VLOOKUP('2019'!$A27,'CCNL Economico 2022'!$A$7:$D$38,4,FALSE)</f>
        <v>21583.08</v>
      </c>
      <c r="C27" s="33">
        <f t="shared" si="0"/>
        <v>15210.440000000002</v>
      </c>
      <c r="D27" s="4"/>
      <c r="E27" s="4">
        <f>6372.64</f>
        <v>6372.64</v>
      </c>
      <c r="F27" s="4">
        <f>VLOOKUP($A27,'CCNL Economico 2022'!$Q$7:$S$37,3,FALSE)</f>
        <v>1693.97</v>
      </c>
      <c r="G27" s="4">
        <f>VLOOKUP($A27,'CCNL Economico 2022'!$A$7:$E$38,5,FALSE)</f>
        <v>192</v>
      </c>
      <c r="H27" s="4">
        <f t="shared" si="2"/>
        <v>1798.59</v>
      </c>
      <c r="I27" s="4">
        <f t="shared" si="3"/>
        <v>25267.640000000003</v>
      </c>
      <c r="J27" s="4">
        <f t="shared" si="9"/>
        <v>7539.0652320000008</v>
      </c>
      <c r="K27" s="4">
        <f t="shared" si="4"/>
        <v>2148</v>
      </c>
      <c r="L27" s="4">
        <f t="shared" si="5"/>
        <v>34954.705232000008</v>
      </c>
      <c r="M27" s="23">
        <f t="shared" si="6"/>
        <v>9687.0652320000008</v>
      </c>
      <c r="N27" s="20" t="s">
        <v>18</v>
      </c>
    </row>
    <row r="28" spans="1:14" s="6" customFormat="1" x14ac:dyDescent="0.2">
      <c r="A28" s="28" t="s">
        <v>19</v>
      </c>
      <c r="B28" s="16">
        <f>VLOOKUP('2019'!$A28,'CCNL Economico 2022'!$A$7:$D$38,4,FALSE)</f>
        <v>20750.759999999998</v>
      </c>
      <c r="C28" s="33">
        <f t="shared" si="0"/>
        <v>14378.119999999999</v>
      </c>
      <c r="D28" s="4"/>
      <c r="E28" s="4">
        <f>6372.64</f>
        <v>6372.64</v>
      </c>
      <c r="F28" s="4">
        <f>VLOOKUP($A28,'CCNL Economico 2022'!$Q$7:$S$37,3,FALSE)</f>
        <v>1693.97</v>
      </c>
      <c r="G28" s="4">
        <f>VLOOKUP($A28,'CCNL Economico 2022'!$A$7:$E$38,5,FALSE)</f>
        <v>228</v>
      </c>
      <c r="H28" s="4">
        <f t="shared" si="2"/>
        <v>1729.23</v>
      </c>
      <c r="I28" s="4">
        <f t="shared" si="3"/>
        <v>24401.96</v>
      </c>
      <c r="J28" s="4">
        <f t="shared" si="9"/>
        <v>7278.3552480000008</v>
      </c>
      <c r="K28" s="4">
        <f t="shared" si="4"/>
        <v>2074</v>
      </c>
      <c r="L28" s="4">
        <f t="shared" si="5"/>
        <v>33754.315247999999</v>
      </c>
      <c r="M28" s="23">
        <f t="shared" si="6"/>
        <v>9352.3552479999998</v>
      </c>
      <c r="N28" s="20" t="s">
        <v>19</v>
      </c>
    </row>
    <row r="29" spans="1:14" s="6" customFormat="1" ht="13.5" thickBot="1" x14ac:dyDescent="0.25">
      <c r="A29" s="29" t="s">
        <v>20</v>
      </c>
      <c r="B29" s="36">
        <f>VLOOKUP('2019'!$A29,'CCNL Economico 2022'!$A$7:$D$38,4,FALSE)</f>
        <v>20354.2</v>
      </c>
      <c r="C29" s="35">
        <f t="shared" si="0"/>
        <v>13981.560000000001</v>
      </c>
      <c r="D29" s="5"/>
      <c r="E29" s="5">
        <f>6372.64</f>
        <v>6372.64</v>
      </c>
      <c r="F29" s="5">
        <f>VLOOKUP($A29,'CCNL Economico 2022'!$Q$7:$S$37,3,FALSE)</f>
        <v>1693.97</v>
      </c>
      <c r="G29" s="5">
        <f>VLOOKUP($A29,'CCNL Economico 2022'!$A$7:$E$38,5,FALSE)</f>
        <v>240</v>
      </c>
      <c r="H29" s="5">
        <f t="shared" si="2"/>
        <v>1696.18</v>
      </c>
      <c r="I29" s="5">
        <f t="shared" si="3"/>
        <v>23984.350000000002</v>
      </c>
      <c r="J29" s="5">
        <f t="shared" si="9"/>
        <v>7152.8917800000008</v>
      </c>
      <c r="K29" s="5">
        <f t="shared" si="4"/>
        <v>2039</v>
      </c>
      <c r="L29" s="5">
        <f t="shared" si="5"/>
        <v>33176.241780000004</v>
      </c>
      <c r="M29" s="24">
        <f t="shared" si="6"/>
        <v>9191.8917800000017</v>
      </c>
      <c r="N29" s="21" t="s">
        <v>20</v>
      </c>
    </row>
    <row r="30" spans="1:14" s="6" customFormat="1" x14ac:dyDescent="0.2">
      <c r="A30" s="26" t="s">
        <v>31</v>
      </c>
      <c r="B30" s="15">
        <f>VLOOKUP('2019'!$A30,'CCNL Economico 2022'!$A$7:$D$38,4,FALSE)</f>
        <v>22930.720000000001</v>
      </c>
      <c r="C30" s="34">
        <f t="shared" si="0"/>
        <v>16597.760000000002</v>
      </c>
      <c r="D30" s="3"/>
      <c r="E30" s="3">
        <f>6332.96</f>
        <v>6332.96</v>
      </c>
      <c r="F30" s="3">
        <f>VLOOKUP($A30,'CCNL Economico 2022'!$Q$7:$S$37,3,FALSE)</f>
        <v>1246.1599999999999</v>
      </c>
      <c r="G30" s="3">
        <f>VLOOKUP($A30,'CCNL Economico 2022'!$A$7:$E$38,5,FALSE)</f>
        <v>0</v>
      </c>
      <c r="H30" s="3">
        <f t="shared" si="2"/>
        <v>1910.89</v>
      </c>
      <c r="I30" s="3">
        <f t="shared" si="3"/>
        <v>26087.77</v>
      </c>
      <c r="J30" s="3">
        <f t="shared" si="9"/>
        <v>7795.0256760000002</v>
      </c>
      <c r="K30" s="3">
        <f>ROUND(I30*8.5%,0)</f>
        <v>2217</v>
      </c>
      <c r="L30" s="3">
        <f>I30+J30+K30</f>
        <v>36099.795676000002</v>
      </c>
      <c r="M30" s="22">
        <f>J30+K30</f>
        <v>10012.025676000001</v>
      </c>
      <c r="N30" s="19" t="str">
        <f>A30</f>
        <v>B7</v>
      </c>
    </row>
    <row r="31" spans="1:14" s="6" customFormat="1" ht="12" customHeight="1" x14ac:dyDescent="0.2">
      <c r="A31" s="27" t="s">
        <v>21</v>
      </c>
      <c r="B31" s="16">
        <f>VLOOKUP('2019'!$A31,'CCNL Economico 2022'!$A$7:$D$38,4,FALSE)</f>
        <v>22230.720000000001</v>
      </c>
      <c r="C31" s="33">
        <f>B31-E31</f>
        <v>15897.760000000002</v>
      </c>
      <c r="D31" s="4"/>
      <c r="E31" s="4">
        <f>6332.96</f>
        <v>6332.96</v>
      </c>
      <c r="F31" s="4">
        <f>VLOOKUP($A31,'CCNL Economico 2022'!$Q$7:$S$37,3,FALSE)</f>
        <v>1246.1599999999999</v>
      </c>
      <c r="G31" s="4">
        <f>VLOOKUP($A31,'CCNL Economico 2022'!$A$7:$E$38,5,FALSE)</f>
        <v>168</v>
      </c>
      <c r="H31" s="4">
        <f>ROUND((B31)/12,2)</f>
        <v>1852.56</v>
      </c>
      <c r="I31" s="4">
        <f>B31+D31+G31+H31+F31</f>
        <v>25497.440000000002</v>
      </c>
      <c r="J31" s="4">
        <f t="shared" si="9"/>
        <v>7609.0926720000007</v>
      </c>
      <c r="K31" s="4">
        <f>ROUND(I31*8.5%,0)</f>
        <v>2167</v>
      </c>
      <c r="L31" s="4">
        <f>I31+J31+K31</f>
        <v>35273.532672000001</v>
      </c>
      <c r="M31" s="23">
        <f>J31+K31</f>
        <v>9776.0926720000007</v>
      </c>
      <c r="N31" s="20" t="str">
        <f>A31</f>
        <v>B6</v>
      </c>
    </row>
    <row r="32" spans="1:14" s="6" customFormat="1" ht="12" customHeight="1" x14ac:dyDescent="0.2">
      <c r="A32" s="27" t="s">
        <v>22</v>
      </c>
      <c r="B32" s="16">
        <f>VLOOKUP('2019'!$A32,'CCNL Economico 2022'!$A$7:$D$38,4,FALSE)</f>
        <v>21403.62</v>
      </c>
      <c r="C32" s="33">
        <f t="shared" si="0"/>
        <v>15070.66</v>
      </c>
      <c r="D32" s="4"/>
      <c r="E32" s="4">
        <f>6332.96</f>
        <v>6332.96</v>
      </c>
      <c r="F32" s="4">
        <f>VLOOKUP($A32,'CCNL Economico 2022'!$Q$7:$S$37,3,FALSE)</f>
        <v>1246.1599999999999</v>
      </c>
      <c r="G32" s="4">
        <f>VLOOKUP($A32,'CCNL Economico 2022'!$A$7:$E$38,5,FALSE)</f>
        <v>204</v>
      </c>
      <c r="H32" s="4">
        <f t="shared" si="2"/>
        <v>1783.64</v>
      </c>
      <c r="I32" s="4">
        <f t="shared" si="3"/>
        <v>24637.42</v>
      </c>
      <c r="J32" s="4">
        <f t="shared" si="9"/>
        <v>7350.0738959999999</v>
      </c>
      <c r="K32" s="4">
        <f>ROUND(I32*8.5%,0)</f>
        <v>2094</v>
      </c>
      <c r="L32" s="4">
        <f>I32+J32+K32</f>
        <v>34081.493896</v>
      </c>
      <c r="M32" s="23">
        <f>J32+K32</f>
        <v>9444.0738959999999</v>
      </c>
      <c r="N32" s="20" t="str">
        <f>A32</f>
        <v>B5</v>
      </c>
    </row>
    <row r="33" spans="1:14" s="6" customFormat="1" x14ac:dyDescent="0.2">
      <c r="A33" s="27" t="s">
        <v>23</v>
      </c>
      <c r="B33" s="16">
        <f>VLOOKUP('2019'!$A33,'CCNL Economico 2022'!$A$7:$D$38,4,FALSE)</f>
        <v>20611.240000000002</v>
      </c>
      <c r="C33" s="33">
        <f t="shared" si="0"/>
        <v>14278.280000000002</v>
      </c>
      <c r="D33" s="4"/>
      <c r="E33" s="4">
        <f>6332.96</f>
        <v>6332.96</v>
      </c>
      <c r="F33" s="4">
        <f>VLOOKUP($A33,'CCNL Economico 2022'!$Q$7:$S$37,3,FALSE)</f>
        <v>1246.1599999999999</v>
      </c>
      <c r="G33" s="4">
        <f>VLOOKUP($A33,'CCNL Economico 2022'!$A$7:$E$38,5,FALSE)</f>
        <v>228</v>
      </c>
      <c r="H33" s="4">
        <f t="shared" si="2"/>
        <v>1717.6</v>
      </c>
      <c r="I33" s="4">
        <f t="shared" si="3"/>
        <v>23803</v>
      </c>
      <c r="J33" s="4">
        <f t="shared" si="9"/>
        <v>7099.3860000000004</v>
      </c>
      <c r="K33" s="4">
        <f t="shared" si="4"/>
        <v>2023</v>
      </c>
      <c r="L33" s="4">
        <f t="shared" si="5"/>
        <v>32925.385999999999</v>
      </c>
      <c r="M33" s="23">
        <f t="shared" si="6"/>
        <v>9122.3860000000004</v>
      </c>
      <c r="N33" s="20" t="s">
        <v>23</v>
      </c>
    </row>
    <row r="34" spans="1:14" s="6" customFormat="1" x14ac:dyDescent="0.2">
      <c r="A34" s="30" t="s">
        <v>24</v>
      </c>
      <c r="B34" s="16">
        <f>VLOOKUP('2019'!$A34,'CCNL Economico 2022'!$A$7:$D$38,4,FALSE)</f>
        <v>19733.830000000002</v>
      </c>
      <c r="C34" s="33">
        <f t="shared" si="0"/>
        <v>13400.870000000003</v>
      </c>
      <c r="D34" s="4"/>
      <c r="E34" s="4">
        <f>6332.96</f>
        <v>6332.96</v>
      </c>
      <c r="F34" s="4">
        <f>VLOOKUP($A34,'CCNL Economico 2022'!$Q$7:$S$37,3,FALSE)</f>
        <v>1246.1599999999999</v>
      </c>
      <c r="G34" s="4">
        <f>VLOOKUP($A34,'CCNL Economico 2022'!$A$7:$E$38,5,FALSE)</f>
        <v>264</v>
      </c>
      <c r="H34" s="4">
        <f t="shared" si="2"/>
        <v>1644.49</v>
      </c>
      <c r="I34" s="4">
        <f t="shared" si="3"/>
        <v>22888.480000000003</v>
      </c>
      <c r="J34" s="4">
        <f t="shared" si="9"/>
        <v>6824.0826240000015</v>
      </c>
      <c r="K34" s="4">
        <f t="shared" si="4"/>
        <v>1946</v>
      </c>
      <c r="L34" s="4">
        <f t="shared" si="5"/>
        <v>31658.562624000006</v>
      </c>
      <c r="M34" s="23">
        <f t="shared" si="6"/>
        <v>8770.0826240000024</v>
      </c>
      <c r="N34" s="20" t="s">
        <v>24</v>
      </c>
    </row>
    <row r="35" spans="1:14" s="6" customFormat="1" x14ac:dyDescent="0.2">
      <c r="A35" s="27" t="s">
        <v>25</v>
      </c>
      <c r="B35" s="16">
        <f>VLOOKUP('2019'!$A35,'CCNL Economico 2022'!$A$7:$D$38,4,FALSE)</f>
        <v>18896.95</v>
      </c>
      <c r="C35" s="33">
        <f t="shared" si="0"/>
        <v>12605.810000000001</v>
      </c>
      <c r="D35" s="4"/>
      <c r="E35" s="4">
        <f>6291.14</f>
        <v>6291.14</v>
      </c>
      <c r="F35" s="4">
        <f>VLOOKUP($A35,'CCNL Economico 2022'!$Q$7:$S$37,3,FALSE)</f>
        <v>1246.1599999999999</v>
      </c>
      <c r="G35" s="4">
        <f>VLOOKUP($A35,'CCNL Economico 2022'!$A$7:$E$38,5,FALSE)</f>
        <v>300</v>
      </c>
      <c r="H35" s="4">
        <f t="shared" si="2"/>
        <v>1574.75</v>
      </c>
      <c r="I35" s="4">
        <f t="shared" si="3"/>
        <v>22017.86</v>
      </c>
      <c r="J35" s="4">
        <f t="shared" si="9"/>
        <v>6561.896568000001</v>
      </c>
      <c r="K35" s="4">
        <f t="shared" si="4"/>
        <v>1872</v>
      </c>
      <c r="L35" s="4">
        <f t="shared" si="5"/>
        <v>30451.756568000001</v>
      </c>
      <c r="M35" s="23">
        <f t="shared" si="6"/>
        <v>8433.8965680000001</v>
      </c>
      <c r="N35" s="20" t="s">
        <v>25</v>
      </c>
    </row>
    <row r="36" spans="1:14" s="6" customFormat="1" ht="13.5" thickBot="1" x14ac:dyDescent="0.25">
      <c r="A36" s="31" t="s">
        <v>26</v>
      </c>
      <c r="B36" s="17">
        <f>VLOOKUP('2019'!$A36,'CCNL Economico 2022'!$A$7:$D$38,4,FALSE)</f>
        <v>17777.3</v>
      </c>
      <c r="C36" s="35">
        <f t="shared" si="0"/>
        <v>11540.779999999999</v>
      </c>
      <c r="D36" s="5"/>
      <c r="E36" s="5">
        <f>6236.52</f>
        <v>6236.52</v>
      </c>
      <c r="F36" s="5">
        <f>VLOOKUP($A36,'CCNL Economico 2022'!$Q$7:$S$37,3,FALSE)</f>
        <v>1246.1599999999999</v>
      </c>
      <c r="G36" s="5">
        <f>VLOOKUP($A36,'CCNL Economico 2022'!$A$7:$E$38,5,FALSE)</f>
        <v>336</v>
      </c>
      <c r="H36" s="5">
        <f t="shared" si="2"/>
        <v>1481.44</v>
      </c>
      <c r="I36" s="5">
        <f t="shared" si="3"/>
        <v>20840.899999999998</v>
      </c>
      <c r="J36" s="5">
        <f t="shared" si="9"/>
        <v>6208.1761199999992</v>
      </c>
      <c r="K36" s="5">
        <f t="shared" si="4"/>
        <v>1771</v>
      </c>
      <c r="L36" s="5">
        <f t="shared" si="5"/>
        <v>28820.076119999998</v>
      </c>
      <c r="M36" s="24">
        <f t="shared" si="6"/>
        <v>7979.1761199999992</v>
      </c>
      <c r="N36" s="21" t="s">
        <v>26</v>
      </c>
    </row>
    <row r="39" spans="1:14" s="6" customFormat="1" x14ac:dyDescent="0.2">
      <c r="G39" s="18"/>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7560-22A0-4DFE-B4EE-AA00BEA04311}">
  <sheetPr codeName="Foglio5"/>
  <dimension ref="A1:O39"/>
  <sheetViews>
    <sheetView zoomScaleNormal="100" workbookViewId="0">
      <selection activeCell="B6" sqref="B6"/>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0.28515625" style="6" customWidth="1"/>
    <col min="8" max="8" width="9.7109375" style="6" bestFit="1" customWidth="1"/>
    <col min="9" max="9" width="10.85546875" style="6" customWidth="1"/>
    <col min="10" max="10" width="10.7109375" style="6" customWidth="1"/>
    <col min="11" max="11" width="12" style="6" customWidth="1"/>
    <col min="12" max="13" width="10.7109375" style="6" customWidth="1"/>
    <col min="14" max="14" width="6.28515625" style="6" customWidth="1"/>
    <col min="15" max="15" width="9.140625" style="6"/>
    <col min="16" max="16384" width="9.140625" style="9"/>
  </cols>
  <sheetData>
    <row r="1" spans="1:15" ht="15.75" x14ac:dyDescent="0.2">
      <c r="B1" s="8"/>
    </row>
    <row r="2" spans="1:15" ht="18.75" x14ac:dyDescent="0.2">
      <c r="A2" s="2" t="s">
        <v>214</v>
      </c>
    </row>
    <row r="3" spans="1:15" x14ac:dyDescent="0.2">
      <c r="A3" s="10" t="s">
        <v>98</v>
      </c>
      <c r="B3" s="10"/>
      <c r="C3" s="10"/>
      <c r="D3" s="10"/>
    </row>
    <row r="4" spans="1:15" ht="13.5" thickBot="1" x14ac:dyDescent="0.25">
      <c r="A4" s="11"/>
    </row>
    <row r="5" spans="1:15" s="14" customFormat="1" ht="64.5" thickBot="1" x14ac:dyDescent="0.25">
      <c r="A5" s="12" t="s">
        <v>27</v>
      </c>
      <c r="B5" s="32" t="s">
        <v>46</v>
      </c>
      <c r="C5" s="7" t="s">
        <v>33</v>
      </c>
      <c r="D5" s="7" t="s">
        <v>36</v>
      </c>
      <c r="E5" s="7" t="s">
        <v>35</v>
      </c>
      <c r="F5" s="7" t="s">
        <v>42</v>
      </c>
      <c r="G5" s="7" t="s">
        <v>41</v>
      </c>
      <c r="H5" s="7" t="s">
        <v>34</v>
      </c>
      <c r="I5" s="7" t="s">
        <v>32</v>
      </c>
      <c r="J5" s="7" t="s">
        <v>37</v>
      </c>
      <c r="K5" s="7" t="s">
        <v>38</v>
      </c>
      <c r="L5" s="7" t="s">
        <v>39</v>
      </c>
      <c r="M5" s="13" t="s">
        <v>40</v>
      </c>
      <c r="N5" s="12" t="s">
        <v>27</v>
      </c>
      <c r="O5" s="25"/>
    </row>
    <row r="6" spans="1:15" x14ac:dyDescent="0.2">
      <c r="A6" s="26" t="s">
        <v>43</v>
      </c>
      <c r="B6" s="15">
        <f>VLOOKUP('2019'!$A6,'CCNL Economico 2022'!$A$7:$D$38,4,FALSE)+VLOOKUP('2019'!$A6,'CCNL Economico 2022'!$A$7:$I$38,9,FALSE)</f>
        <v>38022.080000000002</v>
      </c>
      <c r="C6" s="34">
        <f t="shared" ref="C6:C36" si="0">B6-E6</f>
        <v>31203.850000000002</v>
      </c>
      <c r="D6" s="3">
        <v>3099</v>
      </c>
      <c r="E6" s="3">
        <f>6818.23</f>
        <v>6818.23</v>
      </c>
      <c r="F6" s="3">
        <f>VLOOKUP($A6,'CCNL Economico 2022'!$Q$7:$S$37,3,FALSE)</f>
        <v>3821.77</v>
      </c>
      <c r="G6" s="3">
        <f>VLOOKUP($A6,'CCNL Economico 2022'!$A$7:$E$38,5,FALSE)</f>
        <v>0</v>
      </c>
      <c r="H6" s="3">
        <f>ROUND((B6)/12,2)</f>
        <v>3168.51</v>
      </c>
      <c r="I6" s="3">
        <f>B6+D6+G6+H6+F6</f>
        <v>48111.360000000001</v>
      </c>
      <c r="J6" s="3">
        <f t="shared" ref="J6:J13" si="1">ROUND((C6)*34.24%+D6*24.2%,2)+ROUND((F6*29.88%+H6*29.88%+E6*29.88%),2)</f>
        <v>15560.14</v>
      </c>
      <c r="K6" s="3">
        <f>ROUND(I6*8.5%,0)</f>
        <v>4089</v>
      </c>
      <c r="L6" s="3">
        <f>I6+J6+K6</f>
        <v>67760.5</v>
      </c>
      <c r="M6" s="22">
        <f>J6+K6</f>
        <v>19649.14</v>
      </c>
      <c r="N6" s="15" t="str">
        <f>A6</f>
        <v>EP8</v>
      </c>
    </row>
    <row r="7" spans="1:15" x14ac:dyDescent="0.2">
      <c r="A7" s="27" t="s">
        <v>0</v>
      </c>
      <c r="B7" s="16">
        <f>VLOOKUP('2019'!$A7,'CCNL Economico 2022'!$A$7:$D$38,4,FALSE)+VLOOKUP('2019'!$A7,'CCNL Economico 2022'!$A$7:$I$38,9,FALSE)</f>
        <v>36918.720000000001</v>
      </c>
      <c r="C7" s="33">
        <f>B7-E7</f>
        <v>30100.49</v>
      </c>
      <c r="D7" s="4">
        <v>3099</v>
      </c>
      <c r="E7" s="4">
        <f>6818.23</f>
        <v>6818.23</v>
      </c>
      <c r="F7" s="4">
        <f>VLOOKUP($A7,'CCNL Economico 2022'!$Q$7:$S$37,3,FALSE)</f>
        <v>3821.77</v>
      </c>
      <c r="G7" s="4">
        <f>VLOOKUP($A7,'CCNL Economico 2022'!$A$7:$E$38,5,FALSE)</f>
        <v>0</v>
      </c>
      <c r="H7" s="4">
        <f>ROUND((B7)/12,2)</f>
        <v>3076.56</v>
      </c>
      <c r="I7" s="4">
        <f>B7+D7+G7+H7+F7</f>
        <v>46916.049999999996</v>
      </c>
      <c r="J7" s="4">
        <f t="shared" si="1"/>
        <v>15154.880000000001</v>
      </c>
      <c r="K7" s="4">
        <f>ROUND(I7*8.5%,0)</f>
        <v>3988</v>
      </c>
      <c r="L7" s="4">
        <f>I7+J7+K7</f>
        <v>66058.929999999993</v>
      </c>
      <c r="M7" s="23">
        <f>J7+K7</f>
        <v>19142.88</v>
      </c>
      <c r="N7" s="16" t="str">
        <f>A7</f>
        <v>EP7</v>
      </c>
    </row>
    <row r="8" spans="1:15" x14ac:dyDescent="0.2">
      <c r="A8" s="28" t="s">
        <v>1</v>
      </c>
      <c r="B8" s="16">
        <f>VLOOKUP('2019'!$A8,'CCNL Economico 2022'!$A$7:$D$38,4,FALSE)+VLOOKUP('2019'!$A8,'CCNL Economico 2022'!$A$7:$I$38,9,FALSE)</f>
        <v>35505.149999999994</v>
      </c>
      <c r="C8" s="33">
        <f t="shared" si="0"/>
        <v>28686.919999999995</v>
      </c>
      <c r="D8" s="4">
        <v>3099</v>
      </c>
      <c r="E8" s="4">
        <f>6818.23</f>
        <v>6818.23</v>
      </c>
      <c r="F8" s="4">
        <f>VLOOKUP($A8,'CCNL Economico 2022'!$Q$7:$S$37,3,FALSE)</f>
        <v>3821.77</v>
      </c>
      <c r="G8" s="4">
        <f>VLOOKUP($A8,'CCNL Economico 2022'!$A$7:$E$38,5,FALSE)</f>
        <v>0</v>
      </c>
      <c r="H8" s="4">
        <f t="shared" ref="H8:H36" si="2">ROUND((B8)/12,2)</f>
        <v>2958.76</v>
      </c>
      <c r="I8" s="4">
        <f t="shared" ref="I8:I36" si="3">B8+D8+G8+H8+F8</f>
        <v>45384.679999999993</v>
      </c>
      <c r="J8" s="4">
        <f t="shared" si="1"/>
        <v>14635.67</v>
      </c>
      <c r="K8" s="4">
        <f>ROUND(I8*8.5%,0)</f>
        <v>3858</v>
      </c>
      <c r="L8" s="4">
        <f>I8+J8+K8</f>
        <v>63878.349999999991</v>
      </c>
      <c r="M8" s="23">
        <f>J8+K8</f>
        <v>18493.669999999998</v>
      </c>
      <c r="N8" s="16" t="str">
        <f>A8</f>
        <v>EP6</v>
      </c>
    </row>
    <row r="9" spans="1:15" x14ac:dyDescent="0.2">
      <c r="A9" s="28" t="s">
        <v>2</v>
      </c>
      <c r="B9" s="16">
        <f>VLOOKUP('2019'!$A9,'CCNL Economico 2022'!$A$7:$D$38,4,FALSE)+VLOOKUP('2019'!$A9,'CCNL Economico 2022'!$A$7:$I$38,9,FALSE)</f>
        <v>34151.170000000006</v>
      </c>
      <c r="C9" s="33">
        <f t="shared" si="0"/>
        <v>27332.940000000006</v>
      </c>
      <c r="D9" s="4">
        <v>3099</v>
      </c>
      <c r="E9" s="4">
        <f>6818.23</f>
        <v>6818.23</v>
      </c>
      <c r="F9" s="4">
        <f>VLOOKUP($A9,'CCNL Economico 2022'!$Q$7:$S$37,3,FALSE)</f>
        <v>3821.77</v>
      </c>
      <c r="G9" s="4">
        <f>VLOOKUP($A9,'CCNL Economico 2022'!$A$7:$E$38,5,FALSE)</f>
        <v>0</v>
      </c>
      <c r="H9" s="4">
        <f t="shared" si="2"/>
        <v>2845.93</v>
      </c>
      <c r="I9" s="4">
        <f t="shared" si="3"/>
        <v>43917.87</v>
      </c>
      <c r="J9" s="4">
        <f t="shared" si="1"/>
        <v>14138.36</v>
      </c>
      <c r="K9" s="4">
        <f t="shared" ref="K9:K36" si="4">ROUND(I9*8.5%,0)</f>
        <v>3733</v>
      </c>
      <c r="L9" s="4">
        <f t="shared" ref="L9:L36" si="5">I9+J9+K9</f>
        <v>61789.23</v>
      </c>
      <c r="M9" s="23">
        <f t="shared" ref="M9:M36" si="6">J9+K9</f>
        <v>17871.36</v>
      </c>
      <c r="N9" s="16" t="s">
        <v>2</v>
      </c>
    </row>
    <row r="10" spans="1:15" x14ac:dyDescent="0.2">
      <c r="A10" s="27" t="s">
        <v>3</v>
      </c>
      <c r="B10" s="16">
        <f>VLOOKUP('2019'!$A10,'CCNL Economico 2022'!$A$7:$D$38,4,FALSE)+VLOOKUP('2019'!$A10,'CCNL Economico 2022'!$A$7:$I$38,9,FALSE)</f>
        <v>32690.469999999998</v>
      </c>
      <c r="C10" s="33">
        <f t="shared" si="0"/>
        <v>25872.239999999998</v>
      </c>
      <c r="D10" s="4">
        <v>3099</v>
      </c>
      <c r="E10" s="4">
        <f>6818.23</f>
        <v>6818.23</v>
      </c>
      <c r="F10" s="4">
        <f>VLOOKUP($A10,'CCNL Economico 2022'!$Q$7:$S$37,3,FALSE)</f>
        <v>3821.77</v>
      </c>
      <c r="G10" s="4">
        <f>VLOOKUP($A10,'CCNL Economico 2022'!$A$7:$E$38,5,FALSE)</f>
        <v>0</v>
      </c>
      <c r="H10" s="4">
        <f t="shared" si="2"/>
        <v>2724.21</v>
      </c>
      <c r="I10" s="4">
        <f t="shared" si="3"/>
        <v>42335.45</v>
      </c>
      <c r="J10" s="4">
        <f t="shared" si="1"/>
        <v>13601.84</v>
      </c>
      <c r="K10" s="4">
        <f t="shared" si="4"/>
        <v>3599</v>
      </c>
      <c r="L10" s="4">
        <f t="shared" si="5"/>
        <v>59536.289999999994</v>
      </c>
      <c r="M10" s="23">
        <f t="shared" si="6"/>
        <v>17200.84</v>
      </c>
      <c r="N10" s="16" t="s">
        <v>3</v>
      </c>
    </row>
    <row r="11" spans="1:15" x14ac:dyDescent="0.2">
      <c r="A11" s="28" t="s">
        <v>4</v>
      </c>
      <c r="B11" s="16">
        <f>VLOOKUP('2019'!$A11,'CCNL Economico 2022'!$A$7:$D$38,4,FALSE)+VLOOKUP('2019'!$A11,'CCNL Economico 2022'!$A$7:$I$38,9,FALSE)</f>
        <v>30299.379999999997</v>
      </c>
      <c r="C11" s="33">
        <f t="shared" si="0"/>
        <v>23617.119999999995</v>
      </c>
      <c r="D11" s="4">
        <v>3099</v>
      </c>
      <c r="E11" s="4">
        <f>6682.26</f>
        <v>6682.26</v>
      </c>
      <c r="F11" s="4">
        <f>VLOOKUP($A11,'CCNL Economico 2022'!$Q$7:$S$37,3,FALSE)</f>
        <v>2909.4</v>
      </c>
      <c r="G11" s="4">
        <f>VLOOKUP($A11,'CCNL Economico 2022'!$A$7:$E$38,5,FALSE)</f>
        <v>0</v>
      </c>
      <c r="H11" s="4">
        <f t="shared" si="2"/>
        <v>2524.9499999999998</v>
      </c>
      <c r="I11" s="4">
        <f t="shared" si="3"/>
        <v>38832.729999999996</v>
      </c>
      <c r="J11" s="4">
        <f t="shared" si="1"/>
        <v>12456.9</v>
      </c>
      <c r="K11" s="4">
        <f t="shared" si="4"/>
        <v>3301</v>
      </c>
      <c r="L11" s="4">
        <f t="shared" si="5"/>
        <v>54590.63</v>
      </c>
      <c r="M11" s="23">
        <f t="shared" si="6"/>
        <v>15757.9</v>
      </c>
      <c r="N11" s="16" t="s">
        <v>4</v>
      </c>
    </row>
    <row r="12" spans="1:15" x14ac:dyDescent="0.2">
      <c r="A12" s="28" t="s">
        <v>5</v>
      </c>
      <c r="B12" s="16">
        <f>VLOOKUP('2019'!$A12,'CCNL Economico 2022'!$A$7:$D$38,4,FALSE)+VLOOKUP('2019'!$A12,'CCNL Economico 2022'!$A$7:$I$38,9,FALSE)</f>
        <v>28679.239999999998</v>
      </c>
      <c r="C12" s="33">
        <f t="shared" si="0"/>
        <v>21996.979999999996</v>
      </c>
      <c r="D12" s="4">
        <v>3099</v>
      </c>
      <c r="E12" s="4">
        <f>6682.26</f>
        <v>6682.26</v>
      </c>
      <c r="F12" s="4">
        <f>VLOOKUP($A12,'CCNL Economico 2022'!$Q$7:$S$37,3,FALSE)</f>
        <v>2909.4</v>
      </c>
      <c r="G12" s="4">
        <f>VLOOKUP($A12,'CCNL Economico 2022'!$A$7:$E$38,5,FALSE)</f>
        <v>0</v>
      </c>
      <c r="H12" s="4">
        <f t="shared" si="2"/>
        <v>2389.94</v>
      </c>
      <c r="I12" s="4">
        <f t="shared" si="3"/>
        <v>37077.58</v>
      </c>
      <c r="J12" s="4">
        <f t="shared" si="1"/>
        <v>11861.82</v>
      </c>
      <c r="K12" s="4">
        <f t="shared" si="4"/>
        <v>3152</v>
      </c>
      <c r="L12" s="4">
        <f t="shared" si="5"/>
        <v>52091.4</v>
      </c>
      <c r="M12" s="23">
        <f t="shared" si="6"/>
        <v>15013.82</v>
      </c>
      <c r="N12" s="16" t="s">
        <v>5</v>
      </c>
    </row>
    <row r="13" spans="1:15" ht="13.5" thickBot="1" x14ac:dyDescent="0.25">
      <c r="A13" s="29" t="s">
        <v>6</v>
      </c>
      <c r="B13" s="36">
        <f>VLOOKUP('2019'!$A13,'CCNL Economico 2022'!$A$7:$D$38,4,FALSE)+VLOOKUP('2019'!$A13,'CCNL Economico 2022'!$A$7:$I$38,9,FALSE)</f>
        <v>26970.69</v>
      </c>
      <c r="C13" s="35">
        <f t="shared" si="0"/>
        <v>20288.43</v>
      </c>
      <c r="D13" s="5">
        <v>3099</v>
      </c>
      <c r="E13" s="5">
        <f>6682.26</f>
        <v>6682.26</v>
      </c>
      <c r="F13" s="5">
        <f>VLOOKUP($A13,'CCNL Economico 2022'!$Q$7:$S$37,3,FALSE)</f>
        <v>2909.4</v>
      </c>
      <c r="G13" s="5">
        <f>VLOOKUP($A13,'CCNL Economico 2022'!$A$7:$E$38,5,FALSE)</f>
        <v>0</v>
      </c>
      <c r="H13" s="5">
        <f t="shared" si="2"/>
        <v>2247.56</v>
      </c>
      <c r="I13" s="5">
        <f t="shared" si="3"/>
        <v>35226.65</v>
      </c>
      <c r="J13" s="5">
        <f t="shared" si="1"/>
        <v>11234.28</v>
      </c>
      <c r="K13" s="5">
        <f t="shared" si="4"/>
        <v>2994</v>
      </c>
      <c r="L13" s="5">
        <f t="shared" si="5"/>
        <v>49454.93</v>
      </c>
      <c r="M13" s="24">
        <f t="shared" si="6"/>
        <v>14228.28</v>
      </c>
      <c r="N13" s="17" t="s">
        <v>6</v>
      </c>
    </row>
    <row r="14" spans="1:15" x14ac:dyDescent="0.2">
      <c r="A14" s="26" t="s">
        <v>44</v>
      </c>
      <c r="B14" s="15">
        <f>VLOOKUP('2019'!$A14,'CCNL Economico 2022'!$A$7:$D$38,4,FALSE)+VLOOKUP('2019'!$A14,'CCNL Economico 2022'!$A$7:$I$38,9,FALSE)</f>
        <v>31155.300000000003</v>
      </c>
      <c r="C14" s="34">
        <f t="shared" si="0"/>
        <v>24610.060000000005</v>
      </c>
      <c r="D14" s="3"/>
      <c r="E14" s="3">
        <f>6545.24</f>
        <v>6545.24</v>
      </c>
      <c r="F14" s="3">
        <f>VLOOKUP($A14,'CCNL Economico 2022'!$Q$7:$S$37,3,FALSE)</f>
        <v>2422.16</v>
      </c>
      <c r="G14" s="3">
        <f>VLOOKUP($A14,'CCNL Economico 2022'!$A$7:$E$38,5,FALSE)</f>
        <v>0</v>
      </c>
      <c r="H14" s="3">
        <f t="shared" si="2"/>
        <v>2596.2800000000002</v>
      </c>
      <c r="I14" s="3">
        <f t="shared" si="3"/>
        <v>36173.740000000005</v>
      </c>
      <c r="J14" s="3">
        <f>+I14*29.88%</f>
        <v>10808.713512000002</v>
      </c>
      <c r="K14" s="3">
        <f>ROUND(I14*8.5%,0)</f>
        <v>3075</v>
      </c>
      <c r="L14" s="3">
        <f>I14+J14+K14</f>
        <v>50057.453512000007</v>
      </c>
      <c r="M14" s="22">
        <f>J14+K14</f>
        <v>13883.713512000002</v>
      </c>
      <c r="N14" s="19" t="str">
        <f>A14</f>
        <v>D8</v>
      </c>
    </row>
    <row r="15" spans="1:15" x14ac:dyDescent="0.2">
      <c r="A15" s="27" t="s">
        <v>7</v>
      </c>
      <c r="B15" s="16">
        <f>VLOOKUP('2019'!$A15,'CCNL Economico 2022'!$A$7:$D$38,4,FALSE)+VLOOKUP('2019'!$A15,'CCNL Economico 2022'!$A$7:$I$38,9,FALSE)</f>
        <v>30252.54</v>
      </c>
      <c r="C15" s="33">
        <f>B15-E15</f>
        <v>23707.300000000003</v>
      </c>
      <c r="D15" s="4"/>
      <c r="E15" s="4">
        <f t="shared" ref="E15:E21" si="7">6545.24</f>
        <v>6545.24</v>
      </c>
      <c r="F15" s="4">
        <f>VLOOKUP($A15,'CCNL Economico 2022'!$Q$7:$S$37,3,FALSE)</f>
        <v>2422.16</v>
      </c>
      <c r="G15" s="4">
        <f>VLOOKUP($A15,'CCNL Economico 2022'!$A$7:$E$38,5,FALSE)</f>
        <v>0</v>
      </c>
      <c r="H15" s="4">
        <f>ROUND((B15)/12,2)</f>
        <v>2521.0500000000002</v>
      </c>
      <c r="I15" s="4">
        <f>B15+D15+G15+H15+F15</f>
        <v>35195.75</v>
      </c>
      <c r="J15" s="4">
        <f t="shared" ref="J15:J19" si="8">+I15*29.88%</f>
        <v>10516.490100000001</v>
      </c>
      <c r="K15" s="4">
        <f>ROUND(I15*8.5%,0)</f>
        <v>2992</v>
      </c>
      <c r="L15" s="4">
        <f>I15+J15+K15</f>
        <v>48704.240100000003</v>
      </c>
      <c r="M15" s="23">
        <f>J15+K15</f>
        <v>13508.490100000001</v>
      </c>
      <c r="N15" s="20" t="str">
        <f>A15</f>
        <v>D7</v>
      </c>
    </row>
    <row r="16" spans="1:15" x14ac:dyDescent="0.2">
      <c r="A16" s="28" t="s">
        <v>8</v>
      </c>
      <c r="B16" s="16">
        <f>VLOOKUP('2019'!$A16,'CCNL Economico 2022'!$A$7:$D$38,4,FALSE)+VLOOKUP('2019'!$A16,'CCNL Economico 2022'!$A$7:$I$38,9,FALSE)</f>
        <v>29193.040000000001</v>
      </c>
      <c r="C16" s="33">
        <f t="shared" si="0"/>
        <v>22647.800000000003</v>
      </c>
      <c r="D16" s="4"/>
      <c r="E16" s="4">
        <f t="shared" si="7"/>
        <v>6545.24</v>
      </c>
      <c r="F16" s="4">
        <f>VLOOKUP($A16,'CCNL Economico 2022'!$Q$7:$S$37,3,FALSE)</f>
        <v>2422.16</v>
      </c>
      <c r="G16" s="4">
        <f>VLOOKUP($A16,'CCNL Economico 2022'!$A$7:$E$38,5,FALSE)</f>
        <v>0</v>
      </c>
      <c r="H16" s="4">
        <f t="shared" si="2"/>
        <v>2432.75</v>
      </c>
      <c r="I16" s="4">
        <f t="shared" si="3"/>
        <v>34047.949999999997</v>
      </c>
      <c r="J16" s="4">
        <f t="shared" si="8"/>
        <v>10173.527459999999</v>
      </c>
      <c r="K16" s="4">
        <f>ROUND(I16*8.5%,0)</f>
        <v>2894</v>
      </c>
      <c r="L16" s="4">
        <f>I16+J16+K16</f>
        <v>47115.477459999995</v>
      </c>
      <c r="M16" s="23">
        <f>J16+K16</f>
        <v>13067.527459999999</v>
      </c>
      <c r="N16" s="20" t="str">
        <f>A16</f>
        <v>D6</v>
      </c>
    </row>
    <row r="17" spans="1:14" x14ac:dyDescent="0.2">
      <c r="A17" s="28" t="s">
        <v>9</v>
      </c>
      <c r="B17" s="16">
        <f>VLOOKUP('2019'!$A17,'CCNL Economico 2022'!$A$7:$D$38,4,FALSE)+VLOOKUP('2019'!$A17,'CCNL Economico 2022'!$A$7:$I$38,9,FALSE)</f>
        <v>28175.940000000002</v>
      </c>
      <c r="C17" s="33">
        <f t="shared" si="0"/>
        <v>21630.700000000004</v>
      </c>
      <c r="D17" s="4"/>
      <c r="E17" s="4">
        <f t="shared" si="7"/>
        <v>6545.24</v>
      </c>
      <c r="F17" s="4">
        <f>VLOOKUP($A17,'CCNL Economico 2022'!$Q$7:$S$37,3,FALSE)</f>
        <v>2422.16</v>
      </c>
      <c r="G17" s="4">
        <f>VLOOKUP($A17,'CCNL Economico 2022'!$A$7:$E$38,5,FALSE)</f>
        <v>0</v>
      </c>
      <c r="H17" s="4">
        <f t="shared" si="2"/>
        <v>2348</v>
      </c>
      <c r="I17" s="4">
        <f t="shared" si="3"/>
        <v>32946.100000000006</v>
      </c>
      <c r="J17" s="4">
        <f t="shared" si="8"/>
        <v>9844.2946800000027</v>
      </c>
      <c r="K17" s="4">
        <f t="shared" si="4"/>
        <v>2800</v>
      </c>
      <c r="L17" s="4">
        <f t="shared" si="5"/>
        <v>45590.394680000012</v>
      </c>
      <c r="M17" s="23">
        <f t="shared" si="6"/>
        <v>12644.294680000003</v>
      </c>
      <c r="N17" s="20" t="s">
        <v>9</v>
      </c>
    </row>
    <row r="18" spans="1:14" x14ac:dyDescent="0.2">
      <c r="A18" s="28" t="s">
        <v>10</v>
      </c>
      <c r="B18" s="16">
        <f>VLOOKUP('2019'!$A18,'CCNL Economico 2022'!$A$7:$D$38,4,FALSE)+VLOOKUP('2019'!$A18,'CCNL Economico 2022'!$A$7:$I$38,9,FALSE)</f>
        <v>27204.84</v>
      </c>
      <c r="C18" s="33">
        <f t="shared" si="0"/>
        <v>20659.599999999999</v>
      </c>
      <c r="D18" s="4"/>
      <c r="E18" s="4">
        <f t="shared" si="7"/>
        <v>6545.24</v>
      </c>
      <c r="F18" s="4">
        <f>VLOOKUP($A18,'CCNL Economico 2022'!$Q$7:$S$37,3,FALSE)</f>
        <v>2422.16</v>
      </c>
      <c r="G18" s="4">
        <f>VLOOKUP($A18,'CCNL Economico 2022'!$A$7:$E$38,5,FALSE)</f>
        <v>0</v>
      </c>
      <c r="H18" s="4">
        <f t="shared" si="2"/>
        <v>2267.0700000000002</v>
      </c>
      <c r="I18" s="4">
        <f t="shared" si="3"/>
        <v>31894.07</v>
      </c>
      <c r="J18" s="4">
        <f t="shared" si="8"/>
        <v>9529.9481159999996</v>
      </c>
      <c r="K18" s="4">
        <f t="shared" si="4"/>
        <v>2711</v>
      </c>
      <c r="L18" s="4">
        <f t="shared" si="5"/>
        <v>44135.018115999999</v>
      </c>
      <c r="M18" s="23">
        <f t="shared" si="6"/>
        <v>12240.948116</v>
      </c>
      <c r="N18" s="20" t="s">
        <v>10</v>
      </c>
    </row>
    <row r="19" spans="1:14" s="6" customFormat="1" x14ac:dyDescent="0.2">
      <c r="A19" s="28" t="s">
        <v>11</v>
      </c>
      <c r="B19" s="16">
        <f>VLOOKUP('2019'!$A19,'CCNL Economico 2022'!$A$7:$D$38,4,FALSE)+VLOOKUP('2019'!$A19,'CCNL Economico 2022'!$A$7:$I$38,9,FALSE)</f>
        <v>25889.33</v>
      </c>
      <c r="C19" s="33">
        <f t="shared" si="0"/>
        <v>19344.090000000004</v>
      </c>
      <c r="D19" s="4"/>
      <c r="E19" s="4">
        <f t="shared" si="7"/>
        <v>6545.24</v>
      </c>
      <c r="F19" s="4">
        <f>VLOOKUP($A19,'CCNL Economico 2022'!$Q$7:$S$37,3,FALSE)</f>
        <v>2422.16</v>
      </c>
      <c r="G19" s="4">
        <f>VLOOKUP($A19,'CCNL Economico 2022'!$A$7:$E$38,5,FALSE)</f>
        <v>0</v>
      </c>
      <c r="H19" s="4">
        <f t="shared" si="2"/>
        <v>2157.44</v>
      </c>
      <c r="I19" s="4">
        <f t="shared" si="3"/>
        <v>30468.93</v>
      </c>
      <c r="J19" s="4">
        <f t="shared" si="8"/>
        <v>9104.1162839999997</v>
      </c>
      <c r="K19" s="4">
        <f t="shared" si="4"/>
        <v>2590</v>
      </c>
      <c r="L19" s="4">
        <f t="shared" si="5"/>
        <v>42163.046283999996</v>
      </c>
      <c r="M19" s="23">
        <f t="shared" si="6"/>
        <v>11694.116284</v>
      </c>
      <c r="N19" s="20" t="s">
        <v>11</v>
      </c>
    </row>
    <row r="20" spans="1:14" s="6" customFormat="1" x14ac:dyDescent="0.2">
      <c r="A20" s="28" t="s">
        <v>12</v>
      </c>
      <c r="B20" s="16">
        <f>VLOOKUP('2019'!$A20,'CCNL Economico 2022'!$A$7:$D$38,4,FALSE)+VLOOKUP('2019'!$A20,'CCNL Economico 2022'!$A$7:$I$38,9,FALSE)</f>
        <v>24811.119999999999</v>
      </c>
      <c r="C20" s="33">
        <f t="shared" si="0"/>
        <v>18265.879999999997</v>
      </c>
      <c r="D20" s="4"/>
      <c r="E20" s="4">
        <f t="shared" si="7"/>
        <v>6545.24</v>
      </c>
      <c r="F20" s="4">
        <f>VLOOKUP($A20,'CCNL Economico 2022'!$Q$7:$S$37,3,FALSE)</f>
        <v>2422.16</v>
      </c>
      <c r="G20" s="4">
        <f>VLOOKUP($A20,'CCNL Economico 2022'!$A$7:$E$38,5,FALSE)</f>
        <v>84</v>
      </c>
      <c r="H20" s="4">
        <f t="shared" si="2"/>
        <v>2067.59</v>
      </c>
      <c r="I20" s="4">
        <f t="shared" si="3"/>
        <v>29384.87</v>
      </c>
      <c r="J20" s="4">
        <f>+(+I20-G20)*29.88%+G20*24.2%</f>
        <v>8775.4279559999995</v>
      </c>
      <c r="K20" s="4">
        <f t="shared" si="4"/>
        <v>2498</v>
      </c>
      <c r="L20" s="4">
        <f t="shared" si="5"/>
        <v>40658.297955999995</v>
      </c>
      <c r="M20" s="23">
        <f t="shared" si="6"/>
        <v>11273.427956</v>
      </c>
      <c r="N20" s="20" t="s">
        <v>12</v>
      </c>
    </row>
    <row r="21" spans="1:14" s="6" customFormat="1" ht="13.5" thickBot="1" x14ac:dyDescent="0.25">
      <c r="A21" s="29" t="s">
        <v>13</v>
      </c>
      <c r="B21" s="36">
        <f>VLOOKUP('2019'!$A21,'CCNL Economico 2022'!$A$7:$D$38,4,FALSE)+VLOOKUP('2019'!$A21,'CCNL Economico 2022'!$A$7:$I$38,9,FALSE)</f>
        <v>23878.230000000003</v>
      </c>
      <c r="C21" s="35">
        <f t="shared" si="0"/>
        <v>17332.990000000005</v>
      </c>
      <c r="D21" s="5"/>
      <c r="E21" s="5">
        <f t="shared" si="7"/>
        <v>6545.24</v>
      </c>
      <c r="F21" s="5">
        <f>VLOOKUP($A21,'CCNL Economico 2022'!$Q$7:$S$37,3,FALSE)</f>
        <v>2422.16</v>
      </c>
      <c r="G21" s="5">
        <f>VLOOKUP($A21,'CCNL Economico 2022'!$A$7:$E$38,5,FALSE)</f>
        <v>108</v>
      </c>
      <c r="H21" s="5">
        <f t="shared" si="2"/>
        <v>1989.85</v>
      </c>
      <c r="I21" s="5">
        <f t="shared" si="3"/>
        <v>28398.240000000002</v>
      </c>
      <c r="J21" s="5">
        <f t="shared" ref="J21:J36" si="9">+(+I21-G21)*29.88%+G21*24.2%</f>
        <v>8479.2597120000009</v>
      </c>
      <c r="K21" s="5">
        <f t="shared" si="4"/>
        <v>2414</v>
      </c>
      <c r="L21" s="5">
        <f t="shared" si="5"/>
        <v>39291.499712000004</v>
      </c>
      <c r="M21" s="24">
        <f t="shared" si="6"/>
        <v>10893.259712000001</v>
      </c>
      <c r="N21" s="21" t="s">
        <v>13</v>
      </c>
    </row>
    <row r="22" spans="1:14" s="6" customFormat="1" x14ac:dyDescent="0.2">
      <c r="A22" s="26" t="s">
        <v>45</v>
      </c>
      <c r="B22" s="15">
        <f>VLOOKUP('2019'!$A22,'CCNL Economico 2022'!$A$7:$D$38,4,FALSE)+VLOOKUP('2019'!$A22,'CCNL Economico 2022'!$A$7:$I$38,9,FALSE)</f>
        <v>25851.739999999998</v>
      </c>
      <c r="C22" s="34">
        <f t="shared" si="0"/>
        <v>19401.659999999996</v>
      </c>
      <c r="D22" s="3"/>
      <c r="E22" s="3">
        <f>6450.08</f>
        <v>6450.08</v>
      </c>
      <c r="F22" s="3">
        <f>VLOOKUP($A22,'CCNL Economico 2022'!$Q$7:$S$37,3,FALSE)</f>
        <v>1693.97</v>
      </c>
      <c r="G22" s="3">
        <f>VLOOKUP($A22,'CCNL Economico 2022'!$A$7:$E$38,5,FALSE)</f>
        <v>0</v>
      </c>
      <c r="H22" s="3">
        <f t="shared" si="2"/>
        <v>2154.31</v>
      </c>
      <c r="I22" s="3">
        <f t="shared" si="3"/>
        <v>29700.02</v>
      </c>
      <c r="J22" s="3">
        <f t="shared" si="9"/>
        <v>8874.365976000001</v>
      </c>
      <c r="K22" s="3">
        <f>ROUND(I22*8.5%,0)</f>
        <v>2525</v>
      </c>
      <c r="L22" s="3">
        <f>I22+J22+K22</f>
        <v>41099.385976000005</v>
      </c>
      <c r="M22" s="22">
        <f>J22+K22</f>
        <v>11399.365976000001</v>
      </c>
      <c r="N22" s="19" t="str">
        <f>A22</f>
        <v>C8</v>
      </c>
    </row>
    <row r="23" spans="1:14" s="6" customFormat="1" x14ac:dyDescent="0.2">
      <c r="A23" s="27" t="s">
        <v>14</v>
      </c>
      <c r="B23" s="16">
        <f>VLOOKUP('2019'!$A23,'CCNL Economico 2022'!$A$7:$D$38,4,FALSE)+VLOOKUP('2019'!$A23,'CCNL Economico 2022'!$A$7:$I$38,9,FALSE)</f>
        <v>25049.34</v>
      </c>
      <c r="C23" s="33">
        <f>B23-E23</f>
        <v>18599.260000000002</v>
      </c>
      <c r="D23" s="4"/>
      <c r="E23" s="4">
        <f>6450.08</f>
        <v>6450.08</v>
      </c>
      <c r="F23" s="4">
        <f>VLOOKUP($A23,'CCNL Economico 2022'!$Q$7:$S$37,3,FALSE)</f>
        <v>1693.97</v>
      </c>
      <c r="G23" s="4">
        <f>VLOOKUP($A23,'CCNL Economico 2022'!$A$7:$E$38,5,FALSE)</f>
        <v>60</v>
      </c>
      <c r="H23" s="4">
        <f>ROUND((B23)/12,2)</f>
        <v>2087.4499999999998</v>
      </c>
      <c r="I23" s="4">
        <f>B23+D23+G23+H23+F23</f>
        <v>28890.760000000002</v>
      </c>
      <c r="J23" s="4">
        <f t="shared" si="9"/>
        <v>8629.1510880000005</v>
      </c>
      <c r="K23" s="4">
        <f>ROUND(I23*8.5%,0)</f>
        <v>2456</v>
      </c>
      <c r="L23" s="4">
        <f>I23+J23+K23</f>
        <v>39975.911088000001</v>
      </c>
      <c r="M23" s="23">
        <f>J23+K23</f>
        <v>11085.151088000001</v>
      </c>
      <c r="N23" s="20" t="str">
        <f>A23</f>
        <v>C7</v>
      </c>
    </row>
    <row r="24" spans="1:14" s="6" customFormat="1" x14ac:dyDescent="0.2">
      <c r="A24" s="28" t="s">
        <v>15</v>
      </c>
      <c r="B24" s="16">
        <f>VLOOKUP('2019'!$A24,'CCNL Economico 2022'!$A$7:$D$38,4,FALSE)+VLOOKUP('2019'!$A24,'CCNL Economico 2022'!$A$7:$I$38,9,FALSE)</f>
        <v>24257.759999999998</v>
      </c>
      <c r="C24" s="33">
        <f t="shared" si="0"/>
        <v>17807.68</v>
      </c>
      <c r="D24" s="4"/>
      <c r="E24" s="4">
        <f>6450.08</f>
        <v>6450.08</v>
      </c>
      <c r="F24" s="4">
        <f>VLOOKUP($A24,'CCNL Economico 2022'!$Q$7:$S$37,3,FALSE)</f>
        <v>1693.97</v>
      </c>
      <c r="G24" s="4">
        <f>VLOOKUP($A24,'CCNL Economico 2022'!$A$7:$E$38,5,FALSE)</f>
        <v>96</v>
      </c>
      <c r="H24" s="4">
        <f t="shared" si="2"/>
        <v>2021.48</v>
      </c>
      <c r="I24" s="4">
        <f t="shared" si="3"/>
        <v>28069.21</v>
      </c>
      <c r="J24" s="4">
        <f t="shared" si="9"/>
        <v>8381.6271479999996</v>
      </c>
      <c r="K24" s="4">
        <f>ROUND(I24*8.5%,0)</f>
        <v>2386</v>
      </c>
      <c r="L24" s="4">
        <f>I24+J24+K24</f>
        <v>38836.837147999999</v>
      </c>
      <c r="M24" s="23">
        <f>J24+K24</f>
        <v>10767.627148</v>
      </c>
      <c r="N24" s="20" t="str">
        <f>A24</f>
        <v>C6</v>
      </c>
    </row>
    <row r="25" spans="1:14" s="6" customFormat="1" x14ac:dyDescent="0.2">
      <c r="A25" s="28" t="s">
        <v>16</v>
      </c>
      <c r="B25" s="16">
        <f>VLOOKUP('2019'!$A25,'CCNL Economico 2022'!$A$7:$D$38,4,FALSE)+VLOOKUP('2019'!$A25,'CCNL Economico 2022'!$A$7:$I$38,9,FALSE)</f>
        <v>23494.44</v>
      </c>
      <c r="C25" s="33">
        <f t="shared" si="0"/>
        <v>17044.36</v>
      </c>
      <c r="D25" s="4"/>
      <c r="E25" s="4">
        <f>6450.08</f>
        <v>6450.08</v>
      </c>
      <c r="F25" s="4">
        <f>VLOOKUP($A25,'CCNL Economico 2022'!$Q$7:$S$37,3,FALSE)</f>
        <v>1693.97</v>
      </c>
      <c r="G25" s="4">
        <f>VLOOKUP($A25,'CCNL Economico 2022'!$A$7:$E$38,5,FALSE)</f>
        <v>120</v>
      </c>
      <c r="H25" s="4">
        <f t="shared" si="2"/>
        <v>1957.87</v>
      </c>
      <c r="I25" s="4">
        <f t="shared" si="3"/>
        <v>27266.28</v>
      </c>
      <c r="J25" s="4">
        <f t="shared" si="9"/>
        <v>8140.3484639999997</v>
      </c>
      <c r="K25" s="4">
        <f t="shared" si="4"/>
        <v>2318</v>
      </c>
      <c r="L25" s="4">
        <f>I25+J25+K25</f>
        <v>37724.628464000001</v>
      </c>
      <c r="M25" s="23">
        <f t="shared" si="6"/>
        <v>10458.348463999999</v>
      </c>
      <c r="N25" s="20" t="s">
        <v>16</v>
      </c>
    </row>
    <row r="26" spans="1:14" s="6" customFormat="1" x14ac:dyDescent="0.2">
      <c r="A26" s="27" t="s">
        <v>17</v>
      </c>
      <c r="B26" s="16">
        <f>VLOOKUP('2019'!$A26,'CCNL Economico 2022'!$A$7:$D$38,4,FALSE)+VLOOKUP('2019'!$A26,'CCNL Economico 2022'!$A$7:$I$38,9,FALSE)</f>
        <v>22761</v>
      </c>
      <c r="C26" s="33">
        <f t="shared" si="0"/>
        <v>16310.92</v>
      </c>
      <c r="D26" s="4"/>
      <c r="E26" s="4">
        <f>6450.08</f>
        <v>6450.08</v>
      </c>
      <c r="F26" s="4">
        <f>VLOOKUP($A26,'CCNL Economico 2022'!$Q$7:$S$37,3,FALSE)</f>
        <v>1693.97</v>
      </c>
      <c r="G26" s="4">
        <f>VLOOKUP($A26,'CCNL Economico 2022'!$A$7:$E$38,5,FALSE)</f>
        <v>156</v>
      </c>
      <c r="H26" s="4">
        <f t="shared" si="2"/>
        <v>1896.75</v>
      </c>
      <c r="I26" s="4">
        <f t="shared" si="3"/>
        <v>26507.72</v>
      </c>
      <c r="J26" s="4">
        <f t="shared" si="9"/>
        <v>7911.6459360000008</v>
      </c>
      <c r="K26" s="4">
        <f t="shared" si="4"/>
        <v>2253</v>
      </c>
      <c r="L26" s="4">
        <f t="shared" si="5"/>
        <v>36672.365936000002</v>
      </c>
      <c r="M26" s="23">
        <f t="shared" si="6"/>
        <v>10164.645936000001</v>
      </c>
      <c r="N26" s="20" t="s">
        <v>17</v>
      </c>
    </row>
    <row r="27" spans="1:14" s="6" customFormat="1" x14ac:dyDescent="0.2">
      <c r="A27" s="28" t="s">
        <v>18</v>
      </c>
      <c r="B27" s="16">
        <f>VLOOKUP('2019'!$A27,'CCNL Economico 2022'!$A$7:$D$38,4,FALSE)+VLOOKUP('2019'!$A27,'CCNL Economico 2022'!$A$7:$I$38,9,FALSE)</f>
        <v>21647.88</v>
      </c>
      <c r="C27" s="33">
        <f t="shared" si="0"/>
        <v>15275.240000000002</v>
      </c>
      <c r="D27" s="4"/>
      <c r="E27" s="4">
        <f>6372.64</f>
        <v>6372.64</v>
      </c>
      <c r="F27" s="4">
        <f>VLOOKUP($A27,'CCNL Economico 2022'!$Q$7:$S$37,3,FALSE)</f>
        <v>1693.97</v>
      </c>
      <c r="G27" s="4">
        <f>VLOOKUP($A27,'CCNL Economico 2022'!$A$7:$E$38,5,FALSE)</f>
        <v>192</v>
      </c>
      <c r="H27" s="4">
        <f t="shared" si="2"/>
        <v>1803.99</v>
      </c>
      <c r="I27" s="4">
        <f t="shared" si="3"/>
        <v>25337.840000000004</v>
      </c>
      <c r="J27" s="4">
        <f t="shared" si="9"/>
        <v>7560.0409920000011</v>
      </c>
      <c r="K27" s="4">
        <f t="shared" si="4"/>
        <v>2154</v>
      </c>
      <c r="L27" s="4">
        <f t="shared" si="5"/>
        <v>35051.880992000006</v>
      </c>
      <c r="M27" s="23">
        <f t="shared" si="6"/>
        <v>9714.040992000002</v>
      </c>
      <c r="N27" s="20" t="s">
        <v>18</v>
      </c>
    </row>
    <row r="28" spans="1:14" s="6" customFormat="1" x14ac:dyDescent="0.2">
      <c r="A28" s="28" t="s">
        <v>19</v>
      </c>
      <c r="B28" s="16">
        <f>VLOOKUP('2019'!$A28,'CCNL Economico 2022'!$A$7:$D$38,4,FALSE)+VLOOKUP('2019'!$A28,'CCNL Economico 2022'!$A$7:$I$38,9,FALSE)</f>
        <v>20813.039999999997</v>
      </c>
      <c r="C28" s="33">
        <f t="shared" si="0"/>
        <v>14440.399999999998</v>
      </c>
      <c r="D28" s="4"/>
      <c r="E28" s="4">
        <f>6372.64</f>
        <v>6372.64</v>
      </c>
      <c r="F28" s="4">
        <f>VLOOKUP($A28,'CCNL Economico 2022'!$Q$7:$S$37,3,FALSE)</f>
        <v>1693.97</v>
      </c>
      <c r="G28" s="4">
        <f>VLOOKUP($A28,'CCNL Economico 2022'!$A$7:$E$38,5,FALSE)</f>
        <v>228</v>
      </c>
      <c r="H28" s="4">
        <f t="shared" si="2"/>
        <v>1734.42</v>
      </c>
      <c r="I28" s="4">
        <f t="shared" si="3"/>
        <v>24469.43</v>
      </c>
      <c r="J28" s="4">
        <f t="shared" si="9"/>
        <v>7298.515284000001</v>
      </c>
      <c r="K28" s="4">
        <f t="shared" si="4"/>
        <v>2080</v>
      </c>
      <c r="L28" s="4">
        <f t="shared" si="5"/>
        <v>33847.945284000001</v>
      </c>
      <c r="M28" s="23">
        <f t="shared" si="6"/>
        <v>9378.515284000001</v>
      </c>
      <c r="N28" s="20" t="s">
        <v>19</v>
      </c>
    </row>
    <row r="29" spans="1:14" s="6" customFormat="1" ht="13.5" thickBot="1" x14ac:dyDescent="0.25">
      <c r="A29" s="29" t="s">
        <v>20</v>
      </c>
      <c r="B29" s="36">
        <f>VLOOKUP('2019'!$A29,'CCNL Economico 2022'!$A$7:$D$38,4,FALSE)+VLOOKUP('2019'!$A29,'CCNL Economico 2022'!$A$7:$I$38,9,FALSE)</f>
        <v>20415.280000000002</v>
      </c>
      <c r="C29" s="35">
        <f t="shared" si="0"/>
        <v>14042.640000000003</v>
      </c>
      <c r="D29" s="5"/>
      <c r="E29" s="5">
        <f>6372.64</f>
        <v>6372.64</v>
      </c>
      <c r="F29" s="5">
        <f>VLOOKUP($A29,'CCNL Economico 2022'!$Q$7:$S$37,3,FALSE)</f>
        <v>1693.97</v>
      </c>
      <c r="G29" s="5">
        <f>VLOOKUP($A29,'CCNL Economico 2022'!$A$7:$E$38,5,FALSE)</f>
        <v>240</v>
      </c>
      <c r="H29" s="5">
        <f t="shared" si="2"/>
        <v>1701.27</v>
      </c>
      <c r="I29" s="5">
        <f t="shared" si="3"/>
        <v>24050.520000000004</v>
      </c>
      <c r="J29" s="5">
        <f t="shared" si="9"/>
        <v>7172.6633760000013</v>
      </c>
      <c r="K29" s="5">
        <f t="shared" si="4"/>
        <v>2044</v>
      </c>
      <c r="L29" s="5">
        <f t="shared" si="5"/>
        <v>33267.183376000001</v>
      </c>
      <c r="M29" s="24">
        <f t="shared" si="6"/>
        <v>9216.6633760000004</v>
      </c>
      <c r="N29" s="21" t="s">
        <v>20</v>
      </c>
    </row>
    <row r="30" spans="1:14" s="6" customFormat="1" x14ac:dyDescent="0.2">
      <c r="A30" s="26" t="s">
        <v>31</v>
      </c>
      <c r="B30" s="15">
        <f>VLOOKUP('2019'!$A30,'CCNL Economico 2022'!$A$7:$D$38,4,FALSE)+VLOOKUP('2019'!$A30,'CCNL Economico 2022'!$A$7:$I$38,9,FALSE)</f>
        <v>22999.48</v>
      </c>
      <c r="C30" s="34">
        <f t="shared" si="0"/>
        <v>16666.52</v>
      </c>
      <c r="D30" s="3"/>
      <c r="E30" s="3">
        <f>6332.96</f>
        <v>6332.96</v>
      </c>
      <c r="F30" s="3">
        <f>VLOOKUP($A30,'CCNL Economico 2022'!$Q$7:$S$37,3,FALSE)</f>
        <v>1246.1599999999999</v>
      </c>
      <c r="G30" s="3">
        <f>VLOOKUP($A30,'CCNL Economico 2022'!$A$7:$E$38,5,FALSE)</f>
        <v>0</v>
      </c>
      <c r="H30" s="3">
        <f t="shared" si="2"/>
        <v>1916.62</v>
      </c>
      <c r="I30" s="3">
        <f t="shared" si="3"/>
        <v>26162.26</v>
      </c>
      <c r="J30" s="3">
        <f t="shared" si="9"/>
        <v>7817.2832879999996</v>
      </c>
      <c r="K30" s="3">
        <f>ROUND(I30*8.5%,0)</f>
        <v>2224</v>
      </c>
      <c r="L30" s="3">
        <f>I30+J30+K30</f>
        <v>36203.543288000001</v>
      </c>
      <c r="M30" s="22">
        <f>J30+K30</f>
        <v>10041.283287999999</v>
      </c>
      <c r="N30" s="19" t="str">
        <f>A30</f>
        <v>B7</v>
      </c>
    </row>
    <row r="31" spans="1:14" s="6" customFormat="1" ht="12" customHeight="1" x14ac:dyDescent="0.2">
      <c r="A31" s="27" t="s">
        <v>21</v>
      </c>
      <c r="B31" s="16">
        <f>VLOOKUP('2019'!$A31,'CCNL Economico 2022'!$A$7:$D$38,4,FALSE)+VLOOKUP('2019'!$A31,'CCNL Economico 2022'!$A$7:$I$38,9,FALSE)</f>
        <v>22297.440000000002</v>
      </c>
      <c r="C31" s="33">
        <f>B31-E31</f>
        <v>15964.480000000003</v>
      </c>
      <c r="D31" s="4"/>
      <c r="E31" s="4">
        <f>6332.96</f>
        <v>6332.96</v>
      </c>
      <c r="F31" s="4">
        <f>VLOOKUP($A31,'CCNL Economico 2022'!$Q$7:$S$37,3,FALSE)</f>
        <v>1246.1599999999999</v>
      </c>
      <c r="G31" s="4">
        <f>VLOOKUP($A31,'CCNL Economico 2022'!$A$7:$E$38,5,FALSE)</f>
        <v>168</v>
      </c>
      <c r="H31" s="4">
        <f>ROUND((B31)/12,2)</f>
        <v>1858.12</v>
      </c>
      <c r="I31" s="4">
        <f>B31+D31+G31+H31+F31</f>
        <v>25569.72</v>
      </c>
      <c r="J31" s="4">
        <f t="shared" si="9"/>
        <v>7630.6899360000007</v>
      </c>
      <c r="K31" s="4">
        <f>ROUND(I31*8.5%,0)</f>
        <v>2173</v>
      </c>
      <c r="L31" s="4">
        <f>I31+J31+K31</f>
        <v>35373.409936000004</v>
      </c>
      <c r="M31" s="23">
        <f>J31+K31</f>
        <v>9803.6899360000007</v>
      </c>
      <c r="N31" s="20" t="str">
        <f>A31</f>
        <v>B6</v>
      </c>
    </row>
    <row r="32" spans="1:14" s="6" customFormat="1" ht="12" customHeight="1" x14ac:dyDescent="0.2">
      <c r="A32" s="27" t="s">
        <v>22</v>
      </c>
      <c r="B32" s="16">
        <f>VLOOKUP('2019'!$A32,'CCNL Economico 2022'!$A$7:$D$38,4,FALSE)+VLOOKUP('2019'!$A32,'CCNL Economico 2022'!$A$7:$I$38,9,FALSE)</f>
        <v>21467.82</v>
      </c>
      <c r="C32" s="33">
        <f t="shared" si="0"/>
        <v>15134.86</v>
      </c>
      <c r="D32" s="4"/>
      <c r="E32" s="4">
        <f>6332.96</f>
        <v>6332.96</v>
      </c>
      <c r="F32" s="4">
        <f>VLOOKUP($A32,'CCNL Economico 2022'!$Q$7:$S$37,3,FALSE)</f>
        <v>1246.1599999999999</v>
      </c>
      <c r="G32" s="4">
        <f>VLOOKUP($A32,'CCNL Economico 2022'!$A$7:$E$38,5,FALSE)</f>
        <v>204</v>
      </c>
      <c r="H32" s="4">
        <f t="shared" si="2"/>
        <v>1788.99</v>
      </c>
      <c r="I32" s="4">
        <f t="shared" si="3"/>
        <v>24706.97</v>
      </c>
      <c r="J32" s="4">
        <f t="shared" si="9"/>
        <v>7370.8554360000007</v>
      </c>
      <c r="K32" s="4">
        <f>ROUND(I32*8.5%,0)</f>
        <v>2100</v>
      </c>
      <c r="L32" s="4">
        <f>I32+J32+K32</f>
        <v>34177.825435999999</v>
      </c>
      <c r="M32" s="23">
        <f>J32+K32</f>
        <v>9470.8554360000016</v>
      </c>
      <c r="N32" s="20" t="str">
        <f>A32</f>
        <v>B5</v>
      </c>
    </row>
    <row r="33" spans="1:14" s="6" customFormat="1" x14ac:dyDescent="0.2">
      <c r="A33" s="27" t="s">
        <v>23</v>
      </c>
      <c r="B33" s="16">
        <f>VLOOKUP('2019'!$A33,'CCNL Economico 2022'!$A$7:$D$38,4,FALSE)+VLOOKUP('2019'!$A33,'CCNL Economico 2022'!$A$7:$I$38,9,FALSE)</f>
        <v>20673.04</v>
      </c>
      <c r="C33" s="33">
        <f t="shared" si="0"/>
        <v>14340.080000000002</v>
      </c>
      <c r="D33" s="4"/>
      <c r="E33" s="4">
        <f>6332.96</f>
        <v>6332.96</v>
      </c>
      <c r="F33" s="4">
        <f>VLOOKUP($A33,'CCNL Economico 2022'!$Q$7:$S$37,3,FALSE)</f>
        <v>1246.1599999999999</v>
      </c>
      <c r="G33" s="4">
        <f>VLOOKUP($A33,'CCNL Economico 2022'!$A$7:$E$38,5,FALSE)</f>
        <v>228</v>
      </c>
      <c r="H33" s="4">
        <f t="shared" si="2"/>
        <v>1722.75</v>
      </c>
      <c r="I33" s="4">
        <f t="shared" si="3"/>
        <v>23869.95</v>
      </c>
      <c r="J33" s="4">
        <f t="shared" si="9"/>
        <v>7119.3906600000009</v>
      </c>
      <c r="K33" s="4">
        <f t="shared" si="4"/>
        <v>2029</v>
      </c>
      <c r="L33" s="4">
        <f t="shared" si="5"/>
        <v>33018.340660000002</v>
      </c>
      <c r="M33" s="23">
        <f t="shared" si="6"/>
        <v>9148.3906600000009</v>
      </c>
      <c r="N33" s="20" t="s">
        <v>23</v>
      </c>
    </row>
    <row r="34" spans="1:14" s="6" customFormat="1" x14ac:dyDescent="0.2">
      <c r="A34" s="30" t="s">
        <v>24</v>
      </c>
      <c r="B34" s="16">
        <f>VLOOKUP('2019'!$A34,'CCNL Economico 2022'!$A$7:$D$38,4,FALSE)+VLOOKUP('2019'!$A34,'CCNL Economico 2022'!$A$7:$I$38,9,FALSE)</f>
        <v>19792.990000000002</v>
      </c>
      <c r="C34" s="33">
        <f t="shared" si="0"/>
        <v>13460.030000000002</v>
      </c>
      <c r="D34" s="4"/>
      <c r="E34" s="4">
        <f>6332.96</f>
        <v>6332.96</v>
      </c>
      <c r="F34" s="4">
        <f>VLOOKUP($A34,'CCNL Economico 2022'!$Q$7:$S$37,3,FALSE)</f>
        <v>1246.1599999999999</v>
      </c>
      <c r="G34" s="4">
        <f>VLOOKUP($A34,'CCNL Economico 2022'!$A$7:$E$38,5,FALSE)</f>
        <v>264</v>
      </c>
      <c r="H34" s="4">
        <f t="shared" si="2"/>
        <v>1649.42</v>
      </c>
      <c r="I34" s="4">
        <f t="shared" si="3"/>
        <v>22952.570000000003</v>
      </c>
      <c r="J34" s="4">
        <f t="shared" si="9"/>
        <v>6843.2327160000013</v>
      </c>
      <c r="K34" s="4">
        <f t="shared" si="4"/>
        <v>1951</v>
      </c>
      <c r="L34" s="4">
        <f t="shared" si="5"/>
        <v>31746.802716000006</v>
      </c>
      <c r="M34" s="23">
        <f t="shared" si="6"/>
        <v>8794.2327160000023</v>
      </c>
      <c r="N34" s="20" t="s">
        <v>24</v>
      </c>
    </row>
    <row r="35" spans="1:14" s="6" customFormat="1" x14ac:dyDescent="0.2">
      <c r="A35" s="27" t="s">
        <v>25</v>
      </c>
      <c r="B35" s="16">
        <f>VLOOKUP('2019'!$A35,'CCNL Economico 2022'!$A$7:$D$38,4,FALSE)+VLOOKUP('2019'!$A35,'CCNL Economico 2022'!$A$7:$I$38,9,FALSE)</f>
        <v>18953.59</v>
      </c>
      <c r="C35" s="33">
        <f t="shared" si="0"/>
        <v>12662.45</v>
      </c>
      <c r="D35" s="4"/>
      <c r="E35" s="4">
        <f>6291.14</f>
        <v>6291.14</v>
      </c>
      <c r="F35" s="4">
        <f>VLOOKUP($A35,'CCNL Economico 2022'!$Q$7:$S$37,3,FALSE)</f>
        <v>1246.1599999999999</v>
      </c>
      <c r="G35" s="4">
        <f>VLOOKUP($A35,'CCNL Economico 2022'!$A$7:$E$38,5,FALSE)</f>
        <v>300</v>
      </c>
      <c r="H35" s="4">
        <f t="shared" si="2"/>
        <v>1579.47</v>
      </c>
      <c r="I35" s="4">
        <f t="shared" si="3"/>
        <v>22079.22</v>
      </c>
      <c r="J35" s="4">
        <f t="shared" si="9"/>
        <v>6580.2309360000008</v>
      </c>
      <c r="K35" s="4">
        <f t="shared" si="4"/>
        <v>1877</v>
      </c>
      <c r="L35" s="4">
        <f t="shared" si="5"/>
        <v>30536.450936000001</v>
      </c>
      <c r="M35" s="23">
        <f t="shared" si="6"/>
        <v>8457.2309359999999</v>
      </c>
      <c r="N35" s="20" t="s">
        <v>25</v>
      </c>
    </row>
    <row r="36" spans="1:14" s="6" customFormat="1" ht="13.5" thickBot="1" x14ac:dyDescent="0.25">
      <c r="A36" s="31" t="s">
        <v>26</v>
      </c>
      <c r="B36" s="17">
        <f>VLOOKUP('2019'!$A36,'CCNL Economico 2022'!$A$7:$D$38,4,FALSE)+VLOOKUP('2019'!$A36,'CCNL Economico 2022'!$A$7:$I$38,9,FALSE)</f>
        <v>17830.579999999998</v>
      </c>
      <c r="C36" s="35">
        <f t="shared" si="0"/>
        <v>11594.059999999998</v>
      </c>
      <c r="D36" s="5"/>
      <c r="E36" s="5">
        <f>6236.52</f>
        <v>6236.52</v>
      </c>
      <c r="F36" s="5">
        <f>VLOOKUP($A36,'CCNL Economico 2022'!$Q$7:$S$37,3,FALSE)</f>
        <v>1246.1599999999999</v>
      </c>
      <c r="G36" s="5">
        <f>VLOOKUP($A36,'CCNL Economico 2022'!$A$7:$E$38,5,FALSE)</f>
        <v>336</v>
      </c>
      <c r="H36" s="5">
        <f t="shared" si="2"/>
        <v>1485.88</v>
      </c>
      <c r="I36" s="5">
        <f t="shared" si="3"/>
        <v>20898.62</v>
      </c>
      <c r="J36" s="5">
        <f t="shared" si="9"/>
        <v>6225.4228560000001</v>
      </c>
      <c r="K36" s="5">
        <f t="shared" si="4"/>
        <v>1776</v>
      </c>
      <c r="L36" s="5">
        <f t="shared" si="5"/>
        <v>28900.042856</v>
      </c>
      <c r="M36" s="24">
        <f t="shared" si="6"/>
        <v>8001.4228560000001</v>
      </c>
      <c r="N36" s="21" t="s">
        <v>26</v>
      </c>
    </row>
    <row r="39" spans="1:14" s="6" customFormat="1" x14ac:dyDescent="0.2">
      <c r="G39" s="18"/>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826EC-62A0-416B-B0BE-030AF286022A}">
  <sheetPr codeName="Foglio6"/>
  <dimension ref="A1:AA40"/>
  <sheetViews>
    <sheetView zoomScaleNormal="100" workbookViewId="0">
      <selection activeCell="A2" sqref="A2"/>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0.28515625" style="6" customWidth="1"/>
    <col min="8" max="8" width="9.7109375" style="6" bestFit="1" customWidth="1"/>
    <col min="9" max="9" width="10.85546875" style="6" customWidth="1"/>
    <col min="10" max="10" width="10.7109375" style="6" customWidth="1"/>
    <col min="11" max="11" width="12" style="6" customWidth="1"/>
    <col min="12" max="13" width="10.7109375" style="6" customWidth="1"/>
    <col min="14" max="14" width="6.28515625" style="6" customWidth="1"/>
    <col min="15" max="15" width="10.28515625" style="6" bestFit="1" customWidth="1"/>
    <col min="16" max="16" width="12.85546875" style="9" bestFit="1" customWidth="1"/>
    <col min="17" max="19" width="9.28515625" style="9" bestFit="1" customWidth="1"/>
    <col min="20" max="20" width="10.85546875" style="9" bestFit="1" customWidth="1"/>
    <col min="21" max="21" width="9.140625" style="9"/>
    <col min="22" max="22" width="10.28515625" style="9" bestFit="1" customWidth="1"/>
    <col min="23" max="23" width="11.85546875" style="9" bestFit="1" customWidth="1"/>
    <col min="24" max="26" width="9.28515625" style="9" bestFit="1" customWidth="1"/>
    <col min="27" max="27" width="10.85546875" style="9" bestFit="1" customWidth="1"/>
    <col min="28" max="16384" width="9.140625" style="9"/>
  </cols>
  <sheetData>
    <row r="1" spans="1:27" ht="15.75" x14ac:dyDescent="0.2">
      <c r="B1" s="8"/>
    </row>
    <row r="2" spans="1:27" ht="18.75" x14ac:dyDescent="0.2">
      <c r="A2" s="2" t="s">
        <v>214</v>
      </c>
    </row>
    <row r="3" spans="1:27" x14ac:dyDescent="0.2">
      <c r="A3" s="10" t="s">
        <v>152</v>
      </c>
      <c r="B3" s="10"/>
      <c r="C3" s="10"/>
      <c r="D3" s="10"/>
    </row>
    <row r="4" spans="1:27" ht="13.5" thickBot="1" x14ac:dyDescent="0.25">
      <c r="A4" s="11"/>
    </row>
    <row r="5" spans="1:27" s="14" customFormat="1" ht="64.5" thickBot="1" x14ac:dyDescent="0.25">
      <c r="A5" s="12" t="s">
        <v>27</v>
      </c>
      <c r="B5" s="32" t="s">
        <v>46</v>
      </c>
      <c r="C5" s="7" t="s">
        <v>33</v>
      </c>
      <c r="D5" s="7" t="s">
        <v>36</v>
      </c>
      <c r="E5" s="7" t="s">
        <v>35</v>
      </c>
      <c r="F5" s="7" t="s">
        <v>42</v>
      </c>
      <c r="G5" s="7" t="s">
        <v>41</v>
      </c>
      <c r="H5" s="7" t="s">
        <v>34</v>
      </c>
      <c r="I5" s="7" t="s">
        <v>32</v>
      </c>
      <c r="J5" s="7" t="s">
        <v>37</v>
      </c>
      <c r="K5" s="7" t="s">
        <v>38</v>
      </c>
      <c r="L5" s="7" t="s">
        <v>39</v>
      </c>
      <c r="M5" s="13" t="s">
        <v>40</v>
      </c>
      <c r="N5" s="12" t="s">
        <v>27</v>
      </c>
      <c r="O5" s="25"/>
    </row>
    <row r="6" spans="1:27" x14ac:dyDescent="0.2">
      <c r="A6" s="26" t="s">
        <v>43</v>
      </c>
      <c r="B6" s="15">
        <f>VLOOKUP('2019'!$A6,'CCNL Economico 2022'!$A$7:$D$38,4,FALSE)+VLOOKUP('2019'!$A6,'CCNL Economico 2022'!$A$7:$J$38,10,FALSE)</f>
        <v>38097.919999999998</v>
      </c>
      <c r="C6" s="34">
        <f t="shared" ref="C6:C36" si="0">B6-E6</f>
        <v>31279.69</v>
      </c>
      <c r="D6" s="3">
        <v>3099</v>
      </c>
      <c r="E6" s="3">
        <f>6818.23</f>
        <v>6818.23</v>
      </c>
      <c r="F6" s="3">
        <f>VLOOKUP($A6,'CCNL Economico 2022'!$Q$7:$S$37,3,FALSE)</f>
        <v>3821.77</v>
      </c>
      <c r="G6" s="3">
        <f>VLOOKUP($A6,'CCNL Economico 2022'!$A$7:$E$38,5,FALSE)</f>
        <v>0</v>
      </c>
      <c r="H6" s="3">
        <f>ROUND((B6)/12,2)</f>
        <v>3174.83</v>
      </c>
      <c r="I6" s="3">
        <f>B6+D6+G6+H6+F6</f>
        <v>48193.52</v>
      </c>
      <c r="J6" s="3">
        <f t="shared" ref="J6:J13" si="1">ROUND((C6)*34.24%+D6*24.2%,2)+ROUND((F6*29.88%+H6*29.88%+E6*29.88%),2)</f>
        <v>15587.990000000002</v>
      </c>
      <c r="K6" s="3">
        <f>ROUND(I6*8.5%,0)</f>
        <v>4096</v>
      </c>
      <c r="L6" s="3">
        <f>I6+J6+K6</f>
        <v>67877.509999999995</v>
      </c>
      <c r="M6" s="22">
        <f>J6+K6</f>
        <v>19683.990000000002</v>
      </c>
      <c r="N6" s="15" t="str">
        <f>A6</f>
        <v>EP8</v>
      </c>
      <c r="O6" s="66"/>
      <c r="P6" s="67"/>
      <c r="Q6" s="68"/>
      <c r="R6" s="68"/>
      <c r="S6" s="67"/>
      <c r="T6" s="67"/>
      <c r="V6" s="69"/>
      <c r="W6" s="69"/>
      <c r="X6" s="69"/>
      <c r="Y6" s="69"/>
      <c r="Z6" s="69"/>
      <c r="AA6" s="69"/>
    </row>
    <row r="7" spans="1:27" x14ac:dyDescent="0.2">
      <c r="A7" s="27" t="s">
        <v>0</v>
      </c>
      <c r="B7" s="16">
        <f>VLOOKUP('2019'!$A7,'CCNL Economico 2022'!$A$7:$D$38,4,FALSE)+VLOOKUP('2019'!$A7,'CCNL Economico 2022'!$A$7:$J$38,10,FALSE)</f>
        <v>36992.400000000001</v>
      </c>
      <c r="C7" s="33">
        <f>B7-E7</f>
        <v>30174.170000000002</v>
      </c>
      <c r="D7" s="4">
        <v>3099</v>
      </c>
      <c r="E7" s="4">
        <f>6818.23</f>
        <v>6818.23</v>
      </c>
      <c r="F7" s="4">
        <f>VLOOKUP($A7,'CCNL Economico 2022'!$Q$7:$S$37,3,FALSE)</f>
        <v>3821.77</v>
      </c>
      <c r="G7" s="4">
        <f>VLOOKUP($A7,'CCNL Economico 2022'!$A$7:$E$38,5,FALSE)</f>
        <v>0</v>
      </c>
      <c r="H7" s="4">
        <f>ROUND((B7)/12,2)</f>
        <v>3082.7</v>
      </c>
      <c r="I7" s="4">
        <f>B7+D7+G7+H7+F7</f>
        <v>46995.869999999995</v>
      </c>
      <c r="J7" s="4">
        <f t="shared" si="1"/>
        <v>15181.93</v>
      </c>
      <c r="K7" s="4">
        <f>ROUND(I7*8.5%,0)</f>
        <v>3995</v>
      </c>
      <c r="L7" s="4">
        <f>I7+J7+K7</f>
        <v>66172.799999999988</v>
      </c>
      <c r="M7" s="23">
        <f>J7+K7</f>
        <v>19176.93</v>
      </c>
      <c r="N7" s="16" t="str">
        <f>A7</f>
        <v>EP7</v>
      </c>
      <c r="O7" s="66"/>
      <c r="P7" s="67"/>
      <c r="Q7" s="68"/>
      <c r="R7" s="68"/>
      <c r="S7" s="67"/>
      <c r="T7" s="67"/>
      <c r="V7" s="69"/>
      <c r="W7" s="69"/>
      <c r="X7" s="69"/>
      <c r="Y7" s="69"/>
      <c r="Z7" s="69"/>
      <c r="AA7" s="69"/>
    </row>
    <row r="8" spans="1:27" x14ac:dyDescent="0.2">
      <c r="A8" s="28" t="s">
        <v>1</v>
      </c>
      <c r="B8" s="16">
        <f>VLOOKUP('2019'!$A8,'CCNL Economico 2022'!$A$7:$D$38,4,FALSE)+VLOOKUP('2019'!$A8,'CCNL Economico 2022'!$A$7:$J$38,10,FALSE)</f>
        <v>35575.949999999997</v>
      </c>
      <c r="C8" s="33">
        <f t="shared" si="0"/>
        <v>28757.719999999998</v>
      </c>
      <c r="D8" s="4">
        <v>3099</v>
      </c>
      <c r="E8" s="4">
        <f>6818.23</f>
        <v>6818.23</v>
      </c>
      <c r="F8" s="4">
        <f>VLOOKUP($A8,'CCNL Economico 2022'!$Q$7:$S$37,3,FALSE)</f>
        <v>3821.77</v>
      </c>
      <c r="G8" s="4">
        <f>VLOOKUP($A8,'CCNL Economico 2022'!$A$7:$E$38,5,FALSE)</f>
        <v>0</v>
      </c>
      <c r="H8" s="4">
        <f t="shared" ref="H8:H36" si="2">ROUND((B8)/12,2)</f>
        <v>2964.66</v>
      </c>
      <c r="I8" s="4">
        <f t="shared" ref="I8:I36" si="3">B8+D8+G8+H8+F8</f>
        <v>45461.38</v>
      </c>
      <c r="J8" s="4">
        <f t="shared" si="1"/>
        <v>14661.67</v>
      </c>
      <c r="K8" s="4">
        <f>ROUND(I8*8.5%,0)</f>
        <v>3864</v>
      </c>
      <c r="L8" s="4">
        <f>I8+J8+K8</f>
        <v>63987.049999999996</v>
      </c>
      <c r="M8" s="23">
        <f>J8+K8</f>
        <v>18525.669999999998</v>
      </c>
      <c r="N8" s="16" t="str">
        <f>A8</f>
        <v>EP6</v>
      </c>
      <c r="O8" s="66"/>
      <c r="P8" s="67"/>
      <c r="Q8" s="68"/>
      <c r="R8" s="68"/>
      <c r="S8" s="67"/>
      <c r="T8" s="67"/>
      <c r="V8" s="69"/>
      <c r="W8" s="69"/>
      <c r="X8" s="69"/>
      <c r="Y8" s="69"/>
      <c r="Z8" s="69"/>
      <c r="AA8" s="69"/>
    </row>
    <row r="9" spans="1:27" x14ac:dyDescent="0.2">
      <c r="A9" s="28" t="s">
        <v>2</v>
      </c>
      <c r="B9" s="16">
        <f>VLOOKUP('2019'!$A9,'CCNL Economico 2022'!$A$7:$D$38,4,FALSE)+VLOOKUP('2019'!$A9,'CCNL Economico 2022'!$A$7:$J$38,10,FALSE)</f>
        <v>34219.33</v>
      </c>
      <c r="C9" s="33">
        <f t="shared" si="0"/>
        <v>27401.100000000002</v>
      </c>
      <c r="D9" s="4">
        <v>3099</v>
      </c>
      <c r="E9" s="4">
        <f>6818.23</f>
        <v>6818.23</v>
      </c>
      <c r="F9" s="4">
        <f>VLOOKUP($A9,'CCNL Economico 2022'!$Q$7:$S$37,3,FALSE)</f>
        <v>3821.77</v>
      </c>
      <c r="G9" s="4">
        <f>VLOOKUP($A9,'CCNL Economico 2022'!$A$7:$E$38,5,FALSE)</f>
        <v>0</v>
      </c>
      <c r="H9" s="4">
        <f t="shared" si="2"/>
        <v>2851.61</v>
      </c>
      <c r="I9" s="4">
        <f t="shared" si="3"/>
        <v>43991.71</v>
      </c>
      <c r="J9" s="4">
        <f t="shared" si="1"/>
        <v>14163.380000000001</v>
      </c>
      <c r="K9" s="4">
        <f t="shared" ref="K9:K36" si="4">ROUND(I9*8.5%,0)</f>
        <v>3739</v>
      </c>
      <c r="L9" s="4">
        <f t="shared" ref="L9:L36" si="5">I9+J9+K9</f>
        <v>61894.09</v>
      </c>
      <c r="M9" s="23">
        <f t="shared" ref="M9:M36" si="6">J9+K9</f>
        <v>17902.38</v>
      </c>
      <c r="N9" s="16" t="s">
        <v>2</v>
      </c>
      <c r="O9" s="66"/>
      <c r="P9" s="67"/>
      <c r="Q9" s="68"/>
      <c r="R9" s="68"/>
      <c r="S9" s="67"/>
      <c r="T9" s="67"/>
      <c r="V9" s="69"/>
      <c r="W9" s="69"/>
      <c r="X9" s="69"/>
      <c r="Y9" s="69"/>
      <c r="Z9" s="69"/>
      <c r="AA9" s="69"/>
    </row>
    <row r="10" spans="1:27" x14ac:dyDescent="0.2">
      <c r="A10" s="27" t="s">
        <v>3</v>
      </c>
      <c r="B10" s="16">
        <f>VLOOKUP('2019'!$A10,'CCNL Economico 2022'!$A$7:$D$38,4,FALSE)+VLOOKUP('2019'!$A10,'CCNL Economico 2022'!$A$7:$J$38,10,FALSE)</f>
        <v>32755.629999999997</v>
      </c>
      <c r="C10" s="33">
        <f t="shared" si="0"/>
        <v>25937.399999999998</v>
      </c>
      <c r="D10" s="4">
        <v>3099</v>
      </c>
      <c r="E10" s="4">
        <f>6818.23</f>
        <v>6818.23</v>
      </c>
      <c r="F10" s="4">
        <f>VLOOKUP($A10,'CCNL Economico 2022'!$Q$7:$S$37,3,FALSE)</f>
        <v>3821.77</v>
      </c>
      <c r="G10" s="4">
        <f>VLOOKUP($A10,'CCNL Economico 2022'!$A$7:$E$38,5,FALSE)</f>
        <v>0</v>
      </c>
      <c r="H10" s="4">
        <f t="shared" si="2"/>
        <v>2729.64</v>
      </c>
      <c r="I10" s="4">
        <f t="shared" si="3"/>
        <v>42406.039999999994</v>
      </c>
      <c r="J10" s="4">
        <f t="shared" si="1"/>
        <v>13625.77</v>
      </c>
      <c r="K10" s="4">
        <f t="shared" si="4"/>
        <v>3605</v>
      </c>
      <c r="L10" s="4">
        <f t="shared" si="5"/>
        <v>59636.81</v>
      </c>
      <c r="M10" s="23">
        <f t="shared" si="6"/>
        <v>17230.77</v>
      </c>
      <c r="N10" s="16" t="s">
        <v>3</v>
      </c>
      <c r="O10" s="66"/>
      <c r="P10" s="67"/>
      <c r="Q10" s="68"/>
      <c r="R10" s="68"/>
      <c r="S10" s="67"/>
      <c r="T10" s="67"/>
      <c r="V10" s="69"/>
      <c r="W10" s="69"/>
      <c r="X10" s="69"/>
      <c r="Y10" s="69"/>
      <c r="Z10" s="69"/>
      <c r="AA10" s="69"/>
    </row>
    <row r="11" spans="1:27" x14ac:dyDescent="0.2">
      <c r="A11" s="28" t="s">
        <v>4</v>
      </c>
      <c r="B11" s="16">
        <f>VLOOKUP('2019'!$A11,'CCNL Economico 2022'!$A$7:$D$38,4,FALSE)+VLOOKUP('2019'!$A11,'CCNL Economico 2022'!$A$7:$J$38,10,FALSE)</f>
        <v>30359.86</v>
      </c>
      <c r="C11" s="33">
        <f t="shared" si="0"/>
        <v>23677.599999999999</v>
      </c>
      <c r="D11" s="4">
        <v>3099</v>
      </c>
      <c r="E11" s="4">
        <f>6682.26</f>
        <v>6682.26</v>
      </c>
      <c r="F11" s="4">
        <f>VLOOKUP($A11,'CCNL Economico 2022'!$Q$7:$S$37,3,FALSE)</f>
        <v>2909.4</v>
      </c>
      <c r="G11" s="4">
        <f>VLOOKUP($A11,'CCNL Economico 2022'!$A$7:$E$38,5,FALSE)</f>
        <v>0</v>
      </c>
      <c r="H11" s="4">
        <f t="shared" si="2"/>
        <v>2529.9899999999998</v>
      </c>
      <c r="I11" s="4">
        <f t="shared" si="3"/>
        <v>38898.25</v>
      </c>
      <c r="J11" s="4">
        <f t="shared" si="1"/>
        <v>12479.119999999999</v>
      </c>
      <c r="K11" s="4">
        <f t="shared" si="4"/>
        <v>3306</v>
      </c>
      <c r="L11" s="4">
        <f t="shared" si="5"/>
        <v>54683.369999999995</v>
      </c>
      <c r="M11" s="23">
        <f t="shared" si="6"/>
        <v>15785.119999999999</v>
      </c>
      <c r="N11" s="16" t="s">
        <v>4</v>
      </c>
      <c r="O11" s="66"/>
      <c r="P11" s="67"/>
      <c r="Q11" s="68"/>
      <c r="R11" s="68"/>
      <c r="S11" s="67"/>
      <c r="T11" s="67"/>
      <c r="V11" s="69"/>
      <c r="W11" s="69"/>
      <c r="X11" s="69"/>
      <c r="Y11" s="69"/>
      <c r="Z11" s="69"/>
      <c r="AA11" s="69"/>
    </row>
    <row r="12" spans="1:27" x14ac:dyDescent="0.2">
      <c r="A12" s="28" t="s">
        <v>5</v>
      </c>
      <c r="B12" s="16">
        <f>VLOOKUP('2019'!$A12,'CCNL Economico 2022'!$A$7:$D$38,4,FALSE)+VLOOKUP('2019'!$A12,'CCNL Economico 2022'!$A$7:$J$38,10,FALSE)</f>
        <v>28736.359999999997</v>
      </c>
      <c r="C12" s="33">
        <f t="shared" si="0"/>
        <v>22054.1</v>
      </c>
      <c r="D12" s="4">
        <v>3099</v>
      </c>
      <c r="E12" s="4">
        <f>6682.26</f>
        <v>6682.26</v>
      </c>
      <c r="F12" s="4">
        <f>VLOOKUP($A12,'CCNL Economico 2022'!$Q$7:$S$37,3,FALSE)</f>
        <v>2909.4</v>
      </c>
      <c r="G12" s="4">
        <f>VLOOKUP($A12,'CCNL Economico 2022'!$A$7:$E$38,5,FALSE)</f>
        <v>0</v>
      </c>
      <c r="H12" s="4">
        <f t="shared" si="2"/>
        <v>2394.6999999999998</v>
      </c>
      <c r="I12" s="4">
        <f t="shared" si="3"/>
        <v>37139.46</v>
      </c>
      <c r="J12" s="4">
        <f t="shared" si="1"/>
        <v>11882.800000000001</v>
      </c>
      <c r="K12" s="4">
        <f t="shared" si="4"/>
        <v>3157</v>
      </c>
      <c r="L12" s="4">
        <f t="shared" si="5"/>
        <v>52179.26</v>
      </c>
      <c r="M12" s="23">
        <f t="shared" si="6"/>
        <v>15039.800000000001</v>
      </c>
      <c r="N12" s="16" t="s">
        <v>5</v>
      </c>
      <c r="O12" s="66"/>
      <c r="P12" s="67"/>
      <c r="Q12" s="68"/>
      <c r="R12" s="68"/>
      <c r="S12" s="67"/>
      <c r="T12" s="67"/>
      <c r="V12" s="69"/>
      <c r="W12" s="69"/>
      <c r="X12" s="69"/>
      <c r="Y12" s="69"/>
      <c r="Z12" s="69"/>
      <c r="AA12" s="69"/>
    </row>
    <row r="13" spans="1:27" ht="13.5" thickBot="1" x14ac:dyDescent="0.25">
      <c r="A13" s="29" t="s">
        <v>6</v>
      </c>
      <c r="B13" s="36">
        <f>VLOOKUP('2019'!$A13,'CCNL Economico 2022'!$A$7:$D$38,4,FALSE)+VLOOKUP('2019'!$A13,'CCNL Economico 2022'!$A$7:$J$38,10,FALSE)</f>
        <v>27024.45</v>
      </c>
      <c r="C13" s="35">
        <f t="shared" si="0"/>
        <v>20342.190000000002</v>
      </c>
      <c r="D13" s="5">
        <v>3099</v>
      </c>
      <c r="E13" s="5">
        <f>6682.26</f>
        <v>6682.26</v>
      </c>
      <c r="F13" s="5">
        <f>VLOOKUP($A13,'CCNL Economico 2022'!$Q$7:$S$37,3,FALSE)</f>
        <v>2909.4</v>
      </c>
      <c r="G13" s="5">
        <f>VLOOKUP($A13,'CCNL Economico 2022'!$A$7:$E$38,5,FALSE)</f>
        <v>0</v>
      </c>
      <c r="H13" s="5">
        <f t="shared" si="2"/>
        <v>2252.04</v>
      </c>
      <c r="I13" s="5">
        <f t="shared" si="3"/>
        <v>35284.89</v>
      </c>
      <c r="J13" s="5">
        <f t="shared" si="1"/>
        <v>11254.02</v>
      </c>
      <c r="K13" s="5">
        <f t="shared" si="4"/>
        <v>2999</v>
      </c>
      <c r="L13" s="5">
        <f t="shared" si="5"/>
        <v>49537.91</v>
      </c>
      <c r="M13" s="24">
        <f t="shared" si="6"/>
        <v>14253.02</v>
      </c>
      <c r="N13" s="17" t="s">
        <v>6</v>
      </c>
      <c r="O13" s="66"/>
      <c r="P13" s="67"/>
      <c r="Q13" s="68"/>
      <c r="R13" s="68"/>
      <c r="S13" s="67"/>
      <c r="T13" s="67"/>
      <c r="V13" s="69"/>
      <c r="W13" s="69"/>
      <c r="X13" s="69"/>
      <c r="Y13" s="69"/>
      <c r="Z13" s="69"/>
      <c r="AA13" s="69"/>
    </row>
    <row r="14" spans="1:27" x14ac:dyDescent="0.2">
      <c r="A14" s="26" t="s">
        <v>44</v>
      </c>
      <c r="B14" s="15">
        <f>VLOOKUP('2019'!$A14,'CCNL Economico 2022'!$A$7:$D$38,4,FALSE)+VLOOKUP('2019'!$A14,'CCNL Economico 2022'!$A$7:$J$38,10,FALSE)</f>
        <v>31217.34</v>
      </c>
      <c r="C14" s="34">
        <f t="shared" si="0"/>
        <v>24672.1</v>
      </c>
      <c r="D14" s="3"/>
      <c r="E14" s="3">
        <f>6545.24</f>
        <v>6545.24</v>
      </c>
      <c r="F14" s="3">
        <f>VLOOKUP($A14,'CCNL Economico 2022'!$Q$7:$S$37,3,FALSE)</f>
        <v>2422.16</v>
      </c>
      <c r="G14" s="3">
        <f>VLOOKUP($A14,'CCNL Economico 2022'!$A$7:$E$38,5,FALSE)</f>
        <v>0</v>
      </c>
      <c r="H14" s="3">
        <f t="shared" si="2"/>
        <v>2601.4499999999998</v>
      </c>
      <c r="I14" s="3">
        <f t="shared" si="3"/>
        <v>36240.949999999997</v>
      </c>
      <c r="J14" s="3">
        <f>+I14*29.88%</f>
        <v>10828.79586</v>
      </c>
      <c r="K14" s="3">
        <f>ROUND(I14*8.5%,0)</f>
        <v>3080</v>
      </c>
      <c r="L14" s="3">
        <f>I14+J14+K14</f>
        <v>50149.745859999995</v>
      </c>
      <c r="M14" s="22">
        <f>J14+K14</f>
        <v>13908.79586</v>
      </c>
      <c r="N14" s="19" t="str">
        <f>A14</f>
        <v>D8</v>
      </c>
      <c r="O14" s="66"/>
      <c r="P14" s="67"/>
      <c r="Q14" s="68"/>
      <c r="R14" s="68"/>
      <c r="S14" s="67"/>
      <c r="T14" s="67"/>
      <c r="V14" s="69"/>
      <c r="W14" s="69"/>
      <c r="X14" s="69"/>
      <c r="Y14" s="69"/>
      <c r="Z14" s="69"/>
      <c r="AA14" s="69"/>
    </row>
    <row r="15" spans="1:27" x14ac:dyDescent="0.2">
      <c r="A15" s="27" t="s">
        <v>7</v>
      </c>
      <c r="B15" s="16">
        <f>VLOOKUP('2019'!$A15,'CCNL Economico 2022'!$A$7:$D$38,4,FALSE)+VLOOKUP('2019'!$A15,'CCNL Economico 2022'!$A$7:$J$38,10,FALSE)</f>
        <v>30312.9</v>
      </c>
      <c r="C15" s="33">
        <f>B15-E15</f>
        <v>23767.660000000003</v>
      </c>
      <c r="D15" s="4"/>
      <c r="E15" s="4">
        <f t="shared" ref="E15:E21" si="7">6545.24</f>
        <v>6545.24</v>
      </c>
      <c r="F15" s="4">
        <f>VLOOKUP($A15,'CCNL Economico 2022'!$Q$7:$S$37,3,FALSE)</f>
        <v>2422.16</v>
      </c>
      <c r="G15" s="4">
        <f>VLOOKUP($A15,'CCNL Economico 2022'!$A$7:$E$38,5,FALSE)</f>
        <v>0</v>
      </c>
      <c r="H15" s="4">
        <f>ROUND((B15)/12,2)</f>
        <v>2526.08</v>
      </c>
      <c r="I15" s="4">
        <f>B15+D15+G15+H15+F15</f>
        <v>35261.14</v>
      </c>
      <c r="J15" s="4">
        <f t="shared" ref="J15:J19" si="8">+I15*29.88%</f>
        <v>10536.028632</v>
      </c>
      <c r="K15" s="4">
        <f>ROUND(I15*8.5%,0)</f>
        <v>2997</v>
      </c>
      <c r="L15" s="4">
        <f>I15+J15+K15</f>
        <v>48794.168632000001</v>
      </c>
      <c r="M15" s="23">
        <f>J15+K15</f>
        <v>13533.028632</v>
      </c>
      <c r="N15" s="20" t="str">
        <f>A15</f>
        <v>D7</v>
      </c>
      <c r="O15" s="66"/>
      <c r="P15" s="67"/>
      <c r="Q15" s="68"/>
      <c r="R15" s="68"/>
      <c r="S15" s="67"/>
      <c r="T15" s="67"/>
      <c r="V15" s="69"/>
      <c r="W15" s="69"/>
      <c r="X15" s="69"/>
      <c r="Y15" s="69"/>
      <c r="Z15" s="69"/>
      <c r="AA15" s="69"/>
    </row>
    <row r="16" spans="1:27" x14ac:dyDescent="0.2">
      <c r="A16" s="28" t="s">
        <v>8</v>
      </c>
      <c r="B16" s="16">
        <f>VLOOKUP('2019'!$A16,'CCNL Economico 2022'!$A$7:$D$38,4,FALSE)+VLOOKUP('2019'!$A16,'CCNL Economico 2022'!$A$7:$J$38,10,FALSE)</f>
        <v>29251.24</v>
      </c>
      <c r="C16" s="33">
        <f t="shared" si="0"/>
        <v>22706</v>
      </c>
      <c r="D16" s="4"/>
      <c r="E16" s="4">
        <f t="shared" si="7"/>
        <v>6545.24</v>
      </c>
      <c r="F16" s="4">
        <f>VLOOKUP($A16,'CCNL Economico 2022'!$Q$7:$S$37,3,FALSE)</f>
        <v>2422.16</v>
      </c>
      <c r="G16" s="4">
        <f>VLOOKUP($A16,'CCNL Economico 2022'!$A$7:$E$38,5,FALSE)</f>
        <v>0</v>
      </c>
      <c r="H16" s="4">
        <f t="shared" si="2"/>
        <v>2437.6</v>
      </c>
      <c r="I16" s="4">
        <f t="shared" si="3"/>
        <v>34111</v>
      </c>
      <c r="J16" s="4">
        <f t="shared" si="8"/>
        <v>10192.3668</v>
      </c>
      <c r="K16" s="4">
        <f>ROUND(I16*8.5%,0)</f>
        <v>2899</v>
      </c>
      <c r="L16" s="4">
        <f>I16+J16+K16</f>
        <v>47202.366800000003</v>
      </c>
      <c r="M16" s="23">
        <f>J16+K16</f>
        <v>13091.3668</v>
      </c>
      <c r="N16" s="20" t="str">
        <f>A16</f>
        <v>D6</v>
      </c>
      <c r="O16" s="66"/>
      <c r="P16" s="67"/>
      <c r="Q16" s="68"/>
      <c r="R16" s="68"/>
      <c r="S16" s="67"/>
      <c r="T16" s="67"/>
      <c r="V16" s="69"/>
      <c r="W16" s="69"/>
      <c r="X16" s="69"/>
      <c r="Y16" s="69"/>
      <c r="Z16" s="69"/>
      <c r="AA16" s="69"/>
    </row>
    <row r="17" spans="1:27" x14ac:dyDescent="0.2">
      <c r="A17" s="28" t="s">
        <v>9</v>
      </c>
      <c r="B17" s="16">
        <f>VLOOKUP('2019'!$A17,'CCNL Economico 2022'!$A$7:$D$38,4,FALSE)+VLOOKUP('2019'!$A17,'CCNL Economico 2022'!$A$7:$J$38,10,FALSE)</f>
        <v>28232.100000000002</v>
      </c>
      <c r="C17" s="33">
        <f t="shared" si="0"/>
        <v>21686.86</v>
      </c>
      <c r="D17" s="4"/>
      <c r="E17" s="4">
        <f t="shared" si="7"/>
        <v>6545.24</v>
      </c>
      <c r="F17" s="4">
        <f>VLOOKUP($A17,'CCNL Economico 2022'!$Q$7:$S$37,3,FALSE)</f>
        <v>2422.16</v>
      </c>
      <c r="G17" s="4">
        <f>VLOOKUP($A17,'CCNL Economico 2022'!$A$7:$E$38,5,FALSE)</f>
        <v>0</v>
      </c>
      <c r="H17" s="4">
        <f t="shared" si="2"/>
        <v>2352.6799999999998</v>
      </c>
      <c r="I17" s="4">
        <f t="shared" si="3"/>
        <v>33006.94</v>
      </c>
      <c r="J17" s="4">
        <f t="shared" si="8"/>
        <v>9862.4736720000019</v>
      </c>
      <c r="K17" s="4">
        <f t="shared" si="4"/>
        <v>2806</v>
      </c>
      <c r="L17" s="4">
        <f t="shared" si="5"/>
        <v>45675.413672000002</v>
      </c>
      <c r="M17" s="23">
        <f t="shared" si="6"/>
        <v>12668.473672000002</v>
      </c>
      <c r="N17" s="20" t="s">
        <v>9</v>
      </c>
      <c r="O17" s="66"/>
      <c r="P17" s="67"/>
      <c r="Q17" s="68"/>
      <c r="R17" s="68"/>
      <c r="S17" s="67"/>
      <c r="T17" s="67"/>
      <c r="V17" s="69"/>
      <c r="W17" s="69"/>
      <c r="X17" s="69"/>
      <c r="Y17" s="69"/>
      <c r="Z17" s="69"/>
      <c r="AA17" s="69"/>
    </row>
    <row r="18" spans="1:27" x14ac:dyDescent="0.2">
      <c r="A18" s="28" t="s">
        <v>10</v>
      </c>
      <c r="B18" s="16">
        <f>VLOOKUP('2019'!$A18,'CCNL Economico 2022'!$A$7:$D$38,4,FALSE)+VLOOKUP('2019'!$A18,'CCNL Economico 2022'!$A$7:$J$38,10,FALSE)</f>
        <v>27259.079999999998</v>
      </c>
      <c r="C18" s="33">
        <f t="shared" si="0"/>
        <v>20713.839999999997</v>
      </c>
      <c r="D18" s="4"/>
      <c r="E18" s="4">
        <f t="shared" si="7"/>
        <v>6545.24</v>
      </c>
      <c r="F18" s="4">
        <f>VLOOKUP($A18,'CCNL Economico 2022'!$Q$7:$S$37,3,FALSE)</f>
        <v>2422.16</v>
      </c>
      <c r="G18" s="4">
        <f>VLOOKUP($A18,'CCNL Economico 2022'!$A$7:$E$38,5,FALSE)</f>
        <v>0</v>
      </c>
      <c r="H18" s="4">
        <f t="shared" si="2"/>
        <v>2271.59</v>
      </c>
      <c r="I18" s="4">
        <f t="shared" si="3"/>
        <v>31952.829999999998</v>
      </c>
      <c r="J18" s="4">
        <f t="shared" si="8"/>
        <v>9547.5056039999999</v>
      </c>
      <c r="K18" s="4">
        <f t="shared" si="4"/>
        <v>2716</v>
      </c>
      <c r="L18" s="4">
        <f t="shared" si="5"/>
        <v>44216.335604</v>
      </c>
      <c r="M18" s="23">
        <f t="shared" si="6"/>
        <v>12263.505604</v>
      </c>
      <c r="N18" s="20" t="s">
        <v>10</v>
      </c>
      <c r="O18" s="66"/>
      <c r="P18" s="67"/>
      <c r="Q18" s="68"/>
      <c r="R18" s="68"/>
      <c r="S18" s="67"/>
      <c r="T18" s="67"/>
      <c r="V18" s="69"/>
      <c r="W18" s="69"/>
      <c r="X18" s="69"/>
      <c r="Y18" s="69"/>
      <c r="Z18" s="69"/>
      <c r="AA18" s="69"/>
    </row>
    <row r="19" spans="1:27" s="6" customFormat="1" x14ac:dyDescent="0.2">
      <c r="A19" s="28" t="s">
        <v>11</v>
      </c>
      <c r="B19" s="16">
        <f>VLOOKUP('2019'!$A19,'CCNL Economico 2022'!$A$7:$D$38,4,FALSE)+VLOOKUP('2019'!$A19,'CCNL Economico 2022'!$A$7:$J$38,10,FALSE)</f>
        <v>25940.93</v>
      </c>
      <c r="C19" s="33">
        <f t="shared" si="0"/>
        <v>19395.690000000002</v>
      </c>
      <c r="D19" s="4"/>
      <c r="E19" s="4">
        <f t="shared" si="7"/>
        <v>6545.24</v>
      </c>
      <c r="F19" s="4">
        <f>VLOOKUP($A19,'CCNL Economico 2022'!$Q$7:$S$37,3,FALSE)</f>
        <v>2422.16</v>
      </c>
      <c r="G19" s="4">
        <f>VLOOKUP($A19,'CCNL Economico 2022'!$A$7:$E$38,5,FALSE)</f>
        <v>0</v>
      </c>
      <c r="H19" s="4">
        <f t="shared" si="2"/>
        <v>2161.7399999999998</v>
      </c>
      <c r="I19" s="4">
        <f t="shared" si="3"/>
        <v>30524.829999999998</v>
      </c>
      <c r="J19" s="4">
        <f t="shared" si="8"/>
        <v>9120.8192039999994</v>
      </c>
      <c r="K19" s="4">
        <f t="shared" si="4"/>
        <v>2595</v>
      </c>
      <c r="L19" s="4">
        <f t="shared" si="5"/>
        <v>42240.649204000001</v>
      </c>
      <c r="M19" s="23">
        <f t="shared" si="6"/>
        <v>11715.819203999999</v>
      </c>
      <c r="N19" s="20" t="s">
        <v>11</v>
      </c>
      <c r="O19" s="66"/>
      <c r="P19" s="67"/>
      <c r="Q19" s="68"/>
      <c r="R19" s="68"/>
      <c r="S19" s="67"/>
      <c r="T19" s="67"/>
      <c r="V19" s="69"/>
      <c r="W19" s="69"/>
      <c r="X19" s="69"/>
      <c r="Y19" s="69"/>
      <c r="Z19" s="69"/>
      <c r="AA19" s="69"/>
    </row>
    <row r="20" spans="1:27" s="6" customFormat="1" x14ac:dyDescent="0.2">
      <c r="A20" s="28" t="s">
        <v>12</v>
      </c>
      <c r="B20" s="16">
        <f>VLOOKUP('2019'!$A20,'CCNL Economico 2022'!$A$7:$D$38,4,FALSE)+VLOOKUP('2019'!$A20,'CCNL Economico 2022'!$A$7:$J$38,10,FALSE)</f>
        <v>24860.68</v>
      </c>
      <c r="C20" s="33">
        <f t="shared" si="0"/>
        <v>18315.440000000002</v>
      </c>
      <c r="D20" s="4"/>
      <c r="E20" s="4">
        <f t="shared" si="7"/>
        <v>6545.24</v>
      </c>
      <c r="F20" s="4">
        <f>VLOOKUP($A20,'CCNL Economico 2022'!$Q$7:$S$37,3,FALSE)</f>
        <v>2422.16</v>
      </c>
      <c r="G20" s="4">
        <f>VLOOKUP($A20,'CCNL Economico 2022'!$A$7:$E$38,5,FALSE)</f>
        <v>84</v>
      </c>
      <c r="H20" s="4">
        <f t="shared" si="2"/>
        <v>2071.7199999999998</v>
      </c>
      <c r="I20" s="4">
        <f t="shared" si="3"/>
        <v>29438.560000000001</v>
      </c>
      <c r="J20" s="4">
        <f>+(+I20-G20)*29.88%+G20*24.2%</f>
        <v>8791.4705279999998</v>
      </c>
      <c r="K20" s="4">
        <f t="shared" si="4"/>
        <v>2502</v>
      </c>
      <c r="L20" s="4">
        <f t="shared" si="5"/>
        <v>40732.030528000003</v>
      </c>
      <c r="M20" s="23">
        <f t="shared" si="6"/>
        <v>11293.470528</v>
      </c>
      <c r="N20" s="20" t="s">
        <v>12</v>
      </c>
      <c r="O20" s="66"/>
      <c r="P20" s="67"/>
      <c r="Q20" s="68"/>
      <c r="R20" s="68"/>
      <c r="S20" s="67"/>
      <c r="T20" s="67"/>
      <c r="V20" s="69"/>
      <c r="W20" s="69"/>
      <c r="X20" s="69"/>
      <c r="Y20" s="69"/>
      <c r="Z20" s="69"/>
      <c r="AA20" s="69"/>
    </row>
    <row r="21" spans="1:27" s="6" customFormat="1" ht="13.5" thickBot="1" x14ac:dyDescent="0.25">
      <c r="A21" s="29" t="s">
        <v>13</v>
      </c>
      <c r="B21" s="36">
        <f>VLOOKUP('2019'!$A21,'CCNL Economico 2022'!$A$7:$D$38,4,FALSE)+VLOOKUP('2019'!$A21,'CCNL Economico 2022'!$A$7:$J$38,10,FALSE)</f>
        <v>23925.870000000003</v>
      </c>
      <c r="C21" s="35">
        <f t="shared" si="0"/>
        <v>17380.630000000005</v>
      </c>
      <c r="D21" s="5"/>
      <c r="E21" s="5">
        <f t="shared" si="7"/>
        <v>6545.24</v>
      </c>
      <c r="F21" s="5">
        <f>VLOOKUP($A21,'CCNL Economico 2022'!$Q$7:$S$37,3,FALSE)</f>
        <v>2422.16</v>
      </c>
      <c r="G21" s="5">
        <f>VLOOKUP($A21,'CCNL Economico 2022'!$A$7:$E$38,5,FALSE)</f>
        <v>108</v>
      </c>
      <c r="H21" s="5">
        <f t="shared" si="2"/>
        <v>1993.82</v>
      </c>
      <c r="I21" s="5">
        <f t="shared" si="3"/>
        <v>28449.850000000002</v>
      </c>
      <c r="J21" s="5">
        <f t="shared" ref="J21:J36" si="9">+(+I21-G21)*29.88%+G21*24.2%</f>
        <v>8494.6807800000006</v>
      </c>
      <c r="K21" s="5">
        <f t="shared" si="4"/>
        <v>2418</v>
      </c>
      <c r="L21" s="5">
        <f t="shared" si="5"/>
        <v>39362.530780000001</v>
      </c>
      <c r="M21" s="24">
        <f t="shared" si="6"/>
        <v>10912.680780000001</v>
      </c>
      <c r="N21" s="21" t="s">
        <v>13</v>
      </c>
      <c r="O21" s="66"/>
      <c r="P21" s="67"/>
      <c r="Q21" s="68"/>
      <c r="R21" s="68"/>
      <c r="S21" s="67"/>
      <c r="T21" s="67"/>
      <c r="V21" s="69"/>
      <c r="W21" s="69"/>
      <c r="X21" s="69"/>
      <c r="Y21" s="69"/>
      <c r="Z21" s="69"/>
      <c r="AA21" s="69"/>
    </row>
    <row r="22" spans="1:27" s="6" customFormat="1" x14ac:dyDescent="0.2">
      <c r="A22" s="26" t="s">
        <v>45</v>
      </c>
      <c r="B22" s="15">
        <f>VLOOKUP('2019'!$A22,'CCNL Economico 2022'!$A$7:$D$38,4,FALSE)+VLOOKUP('2019'!$A22,'CCNL Economico 2022'!$A$7:$J$38,10,FALSE)</f>
        <v>25903.34</v>
      </c>
      <c r="C22" s="34">
        <f t="shared" si="0"/>
        <v>19453.260000000002</v>
      </c>
      <c r="D22" s="3"/>
      <c r="E22" s="3">
        <f>6450.08</f>
        <v>6450.08</v>
      </c>
      <c r="F22" s="3">
        <f>VLOOKUP($A22,'CCNL Economico 2022'!$Q$7:$S$37,3,FALSE)</f>
        <v>1693.97</v>
      </c>
      <c r="G22" s="3">
        <f>VLOOKUP($A22,'CCNL Economico 2022'!$A$7:$E$38,5,FALSE)</f>
        <v>0</v>
      </c>
      <c r="H22" s="3">
        <f t="shared" si="2"/>
        <v>2158.61</v>
      </c>
      <c r="I22" s="3">
        <f t="shared" si="3"/>
        <v>29755.920000000002</v>
      </c>
      <c r="J22" s="3">
        <f t="shared" si="9"/>
        <v>8891.0688960000007</v>
      </c>
      <c r="K22" s="3">
        <f>ROUND(I22*8.5%,0)</f>
        <v>2529</v>
      </c>
      <c r="L22" s="3">
        <f>I22+J22+K22</f>
        <v>41175.988896000003</v>
      </c>
      <c r="M22" s="22">
        <f>J22+K22</f>
        <v>11420.068896000001</v>
      </c>
      <c r="N22" s="19" t="str">
        <f>A22</f>
        <v>C8</v>
      </c>
      <c r="O22" s="66"/>
      <c r="P22" s="67"/>
      <c r="Q22" s="68"/>
      <c r="R22" s="68"/>
      <c r="S22" s="67"/>
      <c r="T22" s="67"/>
      <c r="V22" s="69"/>
      <c r="W22" s="69"/>
      <c r="X22" s="69"/>
      <c r="Y22" s="69"/>
      <c r="Z22" s="69"/>
      <c r="AA22" s="69"/>
    </row>
    <row r="23" spans="1:27" s="6" customFormat="1" x14ac:dyDescent="0.2">
      <c r="A23" s="27" t="s">
        <v>14</v>
      </c>
      <c r="B23" s="16">
        <f>VLOOKUP('2019'!$A23,'CCNL Economico 2022'!$A$7:$D$38,4,FALSE)+VLOOKUP('2019'!$A23,'CCNL Economico 2022'!$A$7:$J$38,10,FALSE)</f>
        <v>25099.379999999997</v>
      </c>
      <c r="C23" s="33">
        <f>B23-E23</f>
        <v>18649.299999999996</v>
      </c>
      <c r="D23" s="4"/>
      <c r="E23" s="4">
        <f>6450.08</f>
        <v>6450.08</v>
      </c>
      <c r="F23" s="4">
        <f>VLOOKUP($A23,'CCNL Economico 2022'!$Q$7:$S$37,3,FALSE)</f>
        <v>1693.97</v>
      </c>
      <c r="G23" s="4">
        <f>VLOOKUP($A23,'CCNL Economico 2022'!$A$7:$E$38,5,FALSE)</f>
        <v>60</v>
      </c>
      <c r="H23" s="4">
        <f>ROUND((B23)/12,2)</f>
        <v>2091.62</v>
      </c>
      <c r="I23" s="4">
        <f>B23+D23+G23+H23+F23</f>
        <v>28944.969999999998</v>
      </c>
      <c r="J23" s="4">
        <f t="shared" si="9"/>
        <v>8645.3490359999996</v>
      </c>
      <c r="K23" s="4">
        <f>ROUND(I23*8.5%,0)</f>
        <v>2460</v>
      </c>
      <c r="L23" s="4">
        <f>I23+J23+K23</f>
        <v>40050.319036000001</v>
      </c>
      <c r="M23" s="23">
        <f>J23+K23</f>
        <v>11105.349036</v>
      </c>
      <c r="N23" s="20" t="str">
        <f>A23</f>
        <v>C7</v>
      </c>
      <c r="O23" s="66"/>
      <c r="P23" s="67"/>
      <c r="Q23" s="68"/>
      <c r="R23" s="68"/>
      <c r="S23" s="67"/>
      <c r="T23" s="67"/>
      <c r="V23" s="69"/>
      <c r="W23" s="69"/>
      <c r="X23" s="69"/>
      <c r="Y23" s="69"/>
      <c r="Z23" s="69"/>
      <c r="AA23" s="69"/>
    </row>
    <row r="24" spans="1:27" s="6" customFormat="1" x14ac:dyDescent="0.2">
      <c r="A24" s="28" t="s">
        <v>15</v>
      </c>
      <c r="B24" s="16">
        <f>VLOOKUP('2019'!$A24,'CCNL Economico 2022'!$A$7:$D$38,4,FALSE)+VLOOKUP('2019'!$A24,'CCNL Economico 2022'!$A$7:$J$38,10,FALSE)</f>
        <v>24306.12</v>
      </c>
      <c r="C24" s="33">
        <f t="shared" si="0"/>
        <v>17856.04</v>
      </c>
      <c r="D24" s="4"/>
      <c r="E24" s="4">
        <f>6450.08</f>
        <v>6450.08</v>
      </c>
      <c r="F24" s="4">
        <f>VLOOKUP($A24,'CCNL Economico 2022'!$Q$7:$S$37,3,FALSE)</f>
        <v>1693.97</v>
      </c>
      <c r="G24" s="4">
        <f>VLOOKUP($A24,'CCNL Economico 2022'!$A$7:$E$38,5,FALSE)</f>
        <v>96</v>
      </c>
      <c r="H24" s="4">
        <f t="shared" si="2"/>
        <v>2025.51</v>
      </c>
      <c r="I24" s="4">
        <f t="shared" si="3"/>
        <v>28121.599999999999</v>
      </c>
      <c r="J24" s="4">
        <f t="shared" si="9"/>
        <v>8397.2812799999992</v>
      </c>
      <c r="K24" s="4">
        <f>ROUND(I24*8.5%,0)</f>
        <v>2390</v>
      </c>
      <c r="L24" s="4">
        <f>I24+J24+K24</f>
        <v>38908.881280000001</v>
      </c>
      <c r="M24" s="23">
        <f>J24+K24</f>
        <v>10787.281279999999</v>
      </c>
      <c r="N24" s="20" t="str">
        <f>A24</f>
        <v>C6</v>
      </c>
      <c r="O24" s="66"/>
      <c r="P24" s="67"/>
      <c r="Q24" s="68"/>
      <c r="R24" s="68"/>
      <c r="S24" s="67"/>
      <c r="T24" s="67"/>
      <c r="V24" s="69"/>
      <c r="W24" s="69"/>
      <c r="X24" s="69"/>
      <c r="Y24" s="69"/>
      <c r="Z24" s="69"/>
      <c r="AA24" s="69"/>
    </row>
    <row r="25" spans="1:27" s="6" customFormat="1" x14ac:dyDescent="0.2">
      <c r="A25" s="28" t="s">
        <v>16</v>
      </c>
      <c r="B25" s="16">
        <f>VLOOKUP('2019'!$A25,'CCNL Economico 2022'!$A$7:$D$38,4,FALSE)+VLOOKUP('2019'!$A25,'CCNL Economico 2022'!$A$7:$J$38,10,FALSE)</f>
        <v>23541.239999999998</v>
      </c>
      <c r="C25" s="33">
        <f t="shared" si="0"/>
        <v>17091.159999999996</v>
      </c>
      <c r="D25" s="4"/>
      <c r="E25" s="4">
        <f>6450.08</f>
        <v>6450.08</v>
      </c>
      <c r="F25" s="4">
        <f>VLOOKUP($A25,'CCNL Economico 2022'!$Q$7:$S$37,3,FALSE)</f>
        <v>1693.97</v>
      </c>
      <c r="G25" s="4">
        <f>VLOOKUP($A25,'CCNL Economico 2022'!$A$7:$E$38,5,FALSE)</f>
        <v>120</v>
      </c>
      <c r="H25" s="4">
        <f t="shared" si="2"/>
        <v>1961.77</v>
      </c>
      <c r="I25" s="4">
        <f t="shared" si="3"/>
        <v>27316.98</v>
      </c>
      <c r="J25" s="4">
        <f t="shared" si="9"/>
        <v>8155.4976240000005</v>
      </c>
      <c r="K25" s="4">
        <f t="shared" si="4"/>
        <v>2322</v>
      </c>
      <c r="L25" s="4">
        <f>I25+J25+K25</f>
        <v>37794.477623999999</v>
      </c>
      <c r="M25" s="23">
        <f t="shared" si="6"/>
        <v>10477.497624</v>
      </c>
      <c r="N25" s="20" t="s">
        <v>16</v>
      </c>
      <c r="O25" s="66"/>
      <c r="P25" s="67"/>
      <c r="Q25" s="68"/>
      <c r="R25" s="68"/>
      <c r="S25" s="67"/>
      <c r="T25" s="67"/>
      <c r="V25" s="69"/>
      <c r="W25" s="69"/>
      <c r="X25" s="69"/>
      <c r="Y25" s="69"/>
      <c r="Z25" s="69"/>
      <c r="AA25" s="69"/>
    </row>
    <row r="26" spans="1:27" s="6" customFormat="1" x14ac:dyDescent="0.2">
      <c r="A26" s="27" t="s">
        <v>17</v>
      </c>
      <c r="B26" s="16">
        <f>VLOOKUP('2019'!$A26,'CCNL Economico 2022'!$A$7:$D$38,4,FALSE)+VLOOKUP('2019'!$A26,'CCNL Economico 2022'!$A$7:$J$38,10,FALSE)</f>
        <v>22806.48</v>
      </c>
      <c r="C26" s="33">
        <f t="shared" si="0"/>
        <v>16356.4</v>
      </c>
      <c r="D26" s="4"/>
      <c r="E26" s="4">
        <f>6450.08</f>
        <v>6450.08</v>
      </c>
      <c r="F26" s="4">
        <f>VLOOKUP($A26,'CCNL Economico 2022'!$Q$7:$S$37,3,FALSE)</f>
        <v>1693.97</v>
      </c>
      <c r="G26" s="4">
        <f>VLOOKUP($A26,'CCNL Economico 2022'!$A$7:$E$38,5,FALSE)</f>
        <v>156</v>
      </c>
      <c r="H26" s="4">
        <f t="shared" si="2"/>
        <v>1900.54</v>
      </c>
      <c r="I26" s="4">
        <f t="shared" si="3"/>
        <v>26556.99</v>
      </c>
      <c r="J26" s="4">
        <f t="shared" si="9"/>
        <v>7926.3678120000013</v>
      </c>
      <c r="K26" s="4">
        <f t="shared" si="4"/>
        <v>2257</v>
      </c>
      <c r="L26" s="4">
        <f t="shared" si="5"/>
        <v>36740.357812000002</v>
      </c>
      <c r="M26" s="23">
        <f t="shared" si="6"/>
        <v>10183.367812</v>
      </c>
      <c r="N26" s="20" t="s">
        <v>17</v>
      </c>
      <c r="O26" s="66"/>
      <c r="P26" s="67"/>
      <c r="Q26" s="68"/>
      <c r="R26" s="68"/>
      <c r="S26" s="67"/>
      <c r="T26" s="67"/>
      <c r="V26" s="69"/>
      <c r="W26" s="69"/>
      <c r="X26" s="69"/>
      <c r="Y26" s="69"/>
      <c r="Z26" s="69"/>
      <c r="AA26" s="69"/>
    </row>
    <row r="27" spans="1:27" s="6" customFormat="1" x14ac:dyDescent="0.2">
      <c r="A27" s="28" t="s">
        <v>18</v>
      </c>
      <c r="B27" s="16">
        <f>VLOOKUP('2019'!$A27,'CCNL Economico 2022'!$A$7:$D$38,4,FALSE)+VLOOKUP('2019'!$A27,'CCNL Economico 2022'!$A$7:$J$38,10,FALSE)</f>
        <v>21690.960000000003</v>
      </c>
      <c r="C27" s="33">
        <f t="shared" si="0"/>
        <v>15318.320000000003</v>
      </c>
      <c r="D27" s="4"/>
      <c r="E27" s="4">
        <f>6372.64</f>
        <v>6372.64</v>
      </c>
      <c r="F27" s="4">
        <f>VLOOKUP($A27,'CCNL Economico 2022'!$Q$7:$S$37,3,FALSE)</f>
        <v>1693.97</v>
      </c>
      <c r="G27" s="4">
        <f>VLOOKUP($A27,'CCNL Economico 2022'!$A$7:$E$38,5,FALSE)</f>
        <v>192</v>
      </c>
      <c r="H27" s="4">
        <f t="shared" si="2"/>
        <v>1807.58</v>
      </c>
      <c r="I27" s="4">
        <f t="shared" si="3"/>
        <v>25384.510000000002</v>
      </c>
      <c r="J27" s="4">
        <f t="shared" si="9"/>
        <v>7573.9859880000004</v>
      </c>
      <c r="K27" s="4">
        <f t="shared" si="4"/>
        <v>2158</v>
      </c>
      <c r="L27" s="4">
        <f t="shared" si="5"/>
        <v>35116.495988000002</v>
      </c>
      <c r="M27" s="23">
        <f t="shared" si="6"/>
        <v>9731.9859880000004</v>
      </c>
      <c r="N27" s="20" t="s">
        <v>18</v>
      </c>
      <c r="O27" s="66"/>
      <c r="P27" s="67"/>
      <c r="Q27" s="68"/>
      <c r="R27" s="68"/>
      <c r="S27" s="67"/>
      <c r="T27" s="67"/>
      <c r="V27" s="69"/>
      <c r="W27" s="69"/>
      <c r="X27" s="69"/>
      <c r="Y27" s="69"/>
      <c r="Z27" s="69"/>
      <c r="AA27" s="69"/>
    </row>
    <row r="28" spans="1:27" s="6" customFormat="1" x14ac:dyDescent="0.2">
      <c r="A28" s="28" t="s">
        <v>19</v>
      </c>
      <c r="B28" s="16">
        <f>VLOOKUP('2019'!$A28,'CCNL Economico 2022'!$A$7:$D$38,4,FALSE)+VLOOKUP('2019'!$A28,'CCNL Economico 2022'!$A$7:$J$38,10,FALSE)</f>
        <v>20854.559999999998</v>
      </c>
      <c r="C28" s="33">
        <f>B28-E28</f>
        <v>14481.919999999998</v>
      </c>
      <c r="D28" s="4"/>
      <c r="E28" s="4">
        <f>6372.64</f>
        <v>6372.64</v>
      </c>
      <c r="F28" s="4">
        <f>VLOOKUP($A28,'CCNL Economico 2022'!$Q$7:$S$37,3,FALSE)</f>
        <v>1693.97</v>
      </c>
      <c r="G28" s="4">
        <f>VLOOKUP($A28,'CCNL Economico 2022'!$A$7:$E$38,5,FALSE)</f>
        <v>228</v>
      </c>
      <c r="H28" s="4">
        <f t="shared" si="2"/>
        <v>1737.88</v>
      </c>
      <c r="I28" s="4">
        <f t="shared" si="3"/>
        <v>24514.41</v>
      </c>
      <c r="J28" s="4">
        <f t="shared" si="9"/>
        <v>7311.9553080000005</v>
      </c>
      <c r="K28" s="4">
        <f t="shared" si="4"/>
        <v>2084</v>
      </c>
      <c r="L28" s="4">
        <f t="shared" si="5"/>
        <v>33910.365308</v>
      </c>
      <c r="M28" s="23">
        <f t="shared" si="6"/>
        <v>9395.9553080000005</v>
      </c>
      <c r="N28" s="20" t="s">
        <v>19</v>
      </c>
      <c r="O28" s="66"/>
      <c r="P28" s="67"/>
      <c r="Q28" s="68"/>
      <c r="R28" s="68"/>
      <c r="S28" s="67"/>
      <c r="T28" s="67"/>
      <c r="V28" s="69"/>
      <c r="W28" s="69"/>
      <c r="X28" s="69"/>
      <c r="Y28" s="69"/>
      <c r="Z28" s="69"/>
      <c r="AA28" s="69"/>
    </row>
    <row r="29" spans="1:27" s="6" customFormat="1" ht="13.5" thickBot="1" x14ac:dyDescent="0.25">
      <c r="A29" s="29" t="s">
        <v>20</v>
      </c>
      <c r="B29" s="36">
        <f>VLOOKUP('2019'!$A29,'CCNL Economico 2022'!$A$7:$D$38,4,FALSE)+VLOOKUP('2019'!$A29,'CCNL Economico 2022'!$A$7:$J$38,10,FALSE)</f>
        <v>20455.96</v>
      </c>
      <c r="C29" s="35">
        <f t="shared" si="0"/>
        <v>14083.32</v>
      </c>
      <c r="D29" s="5"/>
      <c r="E29" s="5">
        <f>6372.64</f>
        <v>6372.64</v>
      </c>
      <c r="F29" s="5">
        <f>VLOOKUP($A29,'CCNL Economico 2022'!$Q$7:$S$37,3,FALSE)</f>
        <v>1693.97</v>
      </c>
      <c r="G29" s="5">
        <f>VLOOKUP($A29,'CCNL Economico 2022'!$A$7:$E$38,5,FALSE)</f>
        <v>240</v>
      </c>
      <c r="H29" s="5">
        <f t="shared" si="2"/>
        <v>1704.66</v>
      </c>
      <c r="I29" s="5">
        <f t="shared" si="3"/>
        <v>24094.59</v>
      </c>
      <c r="J29" s="5">
        <f t="shared" si="9"/>
        <v>7185.8314920000003</v>
      </c>
      <c r="K29" s="5">
        <f t="shared" si="4"/>
        <v>2048</v>
      </c>
      <c r="L29" s="5">
        <f t="shared" si="5"/>
        <v>33328.421492000001</v>
      </c>
      <c r="M29" s="24">
        <f t="shared" si="6"/>
        <v>9233.8314920000012</v>
      </c>
      <c r="N29" s="21" t="s">
        <v>20</v>
      </c>
      <c r="O29" s="66"/>
      <c r="P29" s="67"/>
      <c r="Q29" s="68"/>
      <c r="R29" s="68"/>
      <c r="S29" s="67"/>
      <c r="T29" s="67"/>
      <c r="V29" s="69"/>
      <c r="W29" s="69"/>
      <c r="X29" s="69"/>
      <c r="Y29" s="69"/>
      <c r="Z29" s="69"/>
      <c r="AA29" s="69"/>
    </row>
    <row r="30" spans="1:27" s="6" customFormat="1" x14ac:dyDescent="0.2">
      <c r="A30" s="26" t="s">
        <v>31</v>
      </c>
      <c r="B30" s="15">
        <f>VLOOKUP('2019'!$A30,'CCNL Economico 2022'!$A$7:$D$38,4,FALSE)+VLOOKUP('2019'!$A30,'CCNL Economico 2022'!$A$7:$J$38,10,FALSE)</f>
        <v>23045.32</v>
      </c>
      <c r="C30" s="34">
        <f t="shared" si="0"/>
        <v>16712.36</v>
      </c>
      <c r="D30" s="3"/>
      <c r="E30" s="3">
        <f>6332.96</f>
        <v>6332.96</v>
      </c>
      <c r="F30" s="3">
        <f>VLOOKUP($A30,'CCNL Economico 2022'!$Q$7:$S$37,3,FALSE)</f>
        <v>1246.1599999999999</v>
      </c>
      <c r="G30" s="3">
        <f>VLOOKUP($A30,'CCNL Economico 2022'!$A$7:$E$38,5,FALSE)</f>
        <v>0</v>
      </c>
      <c r="H30" s="3">
        <f t="shared" si="2"/>
        <v>1920.44</v>
      </c>
      <c r="I30" s="3">
        <f t="shared" si="3"/>
        <v>26211.919999999998</v>
      </c>
      <c r="J30" s="3">
        <f t="shared" si="9"/>
        <v>7832.1216960000002</v>
      </c>
      <c r="K30" s="3">
        <f>ROUND(I30*8.5%,0)</f>
        <v>2228</v>
      </c>
      <c r="L30" s="3">
        <f>I30+J30+K30</f>
        <v>36272.041696</v>
      </c>
      <c r="M30" s="22">
        <f>J30+K30</f>
        <v>10060.121696</v>
      </c>
      <c r="N30" s="19" t="str">
        <f>A30</f>
        <v>B7</v>
      </c>
      <c r="O30" s="66"/>
      <c r="P30" s="67"/>
      <c r="Q30" s="68"/>
      <c r="R30" s="68"/>
      <c r="S30" s="67"/>
      <c r="T30" s="67"/>
      <c r="V30" s="69"/>
      <c r="W30" s="69"/>
      <c r="X30" s="69"/>
      <c r="Y30" s="69"/>
      <c r="Z30" s="69"/>
      <c r="AA30" s="69"/>
    </row>
    <row r="31" spans="1:27" s="6" customFormat="1" ht="12" customHeight="1" x14ac:dyDescent="0.2">
      <c r="A31" s="27" t="s">
        <v>21</v>
      </c>
      <c r="B31" s="16">
        <f>VLOOKUP('2019'!$A31,'CCNL Economico 2022'!$A$7:$D$38,4,FALSE)+VLOOKUP('2019'!$A31,'CCNL Economico 2022'!$A$7:$J$38,10,FALSE)</f>
        <v>22341.84</v>
      </c>
      <c r="C31" s="33">
        <f>B31-E31</f>
        <v>16008.880000000001</v>
      </c>
      <c r="D31" s="4"/>
      <c r="E31" s="4">
        <f>6332.96</f>
        <v>6332.96</v>
      </c>
      <c r="F31" s="4">
        <f>VLOOKUP($A31,'CCNL Economico 2022'!$Q$7:$S$37,3,FALSE)</f>
        <v>1246.1599999999999</v>
      </c>
      <c r="G31" s="4">
        <f>VLOOKUP($A31,'CCNL Economico 2022'!$A$7:$E$38,5,FALSE)</f>
        <v>168</v>
      </c>
      <c r="H31" s="4">
        <f>ROUND((B31)/12,2)</f>
        <v>1861.82</v>
      </c>
      <c r="I31" s="4">
        <f>B31+D31+G31+H31+F31</f>
        <v>25617.82</v>
      </c>
      <c r="J31" s="4">
        <f t="shared" si="9"/>
        <v>7645.0622160000003</v>
      </c>
      <c r="K31" s="4">
        <f>ROUND(I31*8.5%,0)</f>
        <v>2178</v>
      </c>
      <c r="L31" s="4">
        <f>I31+J31+K31</f>
        <v>35440.882215999998</v>
      </c>
      <c r="M31" s="23">
        <f>J31+K31</f>
        <v>9823.0622160000003</v>
      </c>
      <c r="N31" s="20" t="str">
        <f>A31</f>
        <v>B6</v>
      </c>
      <c r="O31" s="66"/>
      <c r="P31" s="67"/>
      <c r="Q31" s="68"/>
      <c r="R31" s="68"/>
      <c r="S31" s="67"/>
      <c r="T31" s="67"/>
      <c r="V31" s="69"/>
      <c r="W31" s="69"/>
      <c r="X31" s="69"/>
      <c r="Y31" s="69"/>
      <c r="Z31" s="69"/>
      <c r="AA31" s="69"/>
    </row>
    <row r="32" spans="1:27" s="6" customFormat="1" ht="12" customHeight="1" x14ac:dyDescent="0.2">
      <c r="A32" s="27" t="s">
        <v>22</v>
      </c>
      <c r="B32" s="16">
        <f>VLOOKUP('2019'!$A32,'CCNL Economico 2022'!$A$7:$D$38,4,FALSE)+VLOOKUP('2019'!$A32,'CCNL Economico 2022'!$A$7:$J$38,10,FALSE)</f>
        <v>21510.66</v>
      </c>
      <c r="C32" s="33">
        <f t="shared" si="0"/>
        <v>15177.7</v>
      </c>
      <c r="D32" s="4"/>
      <c r="E32" s="4">
        <f>6332.96</f>
        <v>6332.96</v>
      </c>
      <c r="F32" s="4">
        <f>VLOOKUP($A32,'CCNL Economico 2022'!$Q$7:$S$37,3,FALSE)</f>
        <v>1246.1599999999999</v>
      </c>
      <c r="G32" s="4">
        <f>VLOOKUP($A32,'CCNL Economico 2022'!$A$7:$E$38,5,FALSE)</f>
        <v>204</v>
      </c>
      <c r="H32" s="4">
        <f t="shared" si="2"/>
        <v>1792.56</v>
      </c>
      <c r="I32" s="4">
        <f t="shared" si="3"/>
        <v>24753.38</v>
      </c>
      <c r="J32" s="4">
        <f t="shared" si="9"/>
        <v>7384.7227440000006</v>
      </c>
      <c r="K32" s="4">
        <f>ROUND(I32*8.5%,0)</f>
        <v>2104</v>
      </c>
      <c r="L32" s="4">
        <f>I32+J32+K32</f>
        <v>34242.102744000003</v>
      </c>
      <c r="M32" s="23">
        <f>J32+K32</f>
        <v>9488.7227440000006</v>
      </c>
      <c r="N32" s="20" t="str">
        <f>A32</f>
        <v>B5</v>
      </c>
      <c r="O32" s="66"/>
      <c r="P32" s="67"/>
      <c r="Q32" s="68"/>
      <c r="R32" s="68"/>
      <c r="S32" s="67"/>
      <c r="T32" s="67"/>
      <c r="V32" s="69"/>
      <c r="W32" s="69"/>
      <c r="X32" s="69"/>
      <c r="Y32" s="69"/>
      <c r="Z32" s="69"/>
      <c r="AA32" s="69"/>
    </row>
    <row r="33" spans="1:27" s="6" customFormat="1" x14ac:dyDescent="0.2">
      <c r="A33" s="27" t="s">
        <v>23</v>
      </c>
      <c r="B33" s="16">
        <f>VLOOKUP('2019'!$A33,'CCNL Economico 2022'!$A$7:$D$38,4,FALSE)+VLOOKUP('2019'!$A33,'CCNL Economico 2022'!$A$7:$J$38,10,FALSE)</f>
        <v>20714.320000000003</v>
      </c>
      <c r="C33" s="33">
        <f t="shared" si="0"/>
        <v>14381.360000000004</v>
      </c>
      <c r="D33" s="4"/>
      <c r="E33" s="4">
        <f>6332.96</f>
        <v>6332.96</v>
      </c>
      <c r="F33" s="4">
        <f>VLOOKUP($A33,'CCNL Economico 2022'!$Q$7:$S$37,3,FALSE)</f>
        <v>1246.1599999999999</v>
      </c>
      <c r="G33" s="4">
        <f>VLOOKUP($A33,'CCNL Economico 2022'!$A$7:$E$38,5,FALSE)</f>
        <v>228</v>
      </c>
      <c r="H33" s="4">
        <f t="shared" si="2"/>
        <v>1726.19</v>
      </c>
      <c r="I33" s="4">
        <f t="shared" si="3"/>
        <v>23914.670000000002</v>
      </c>
      <c r="J33" s="4">
        <f t="shared" si="9"/>
        <v>7132.7529960000011</v>
      </c>
      <c r="K33" s="4">
        <f t="shared" si="4"/>
        <v>2033</v>
      </c>
      <c r="L33" s="4">
        <f t="shared" si="5"/>
        <v>33080.422996000001</v>
      </c>
      <c r="M33" s="23">
        <f t="shared" si="6"/>
        <v>9165.7529960000011</v>
      </c>
      <c r="N33" s="20" t="s">
        <v>23</v>
      </c>
      <c r="O33" s="66"/>
      <c r="P33" s="67"/>
      <c r="Q33" s="68"/>
      <c r="R33" s="68"/>
      <c r="S33" s="67"/>
      <c r="T33" s="67"/>
      <c r="V33" s="69"/>
      <c r="W33" s="69"/>
      <c r="X33" s="69"/>
      <c r="Y33" s="69"/>
      <c r="Z33" s="69"/>
      <c r="AA33" s="69"/>
    </row>
    <row r="34" spans="1:27" s="6" customFormat="1" x14ac:dyDescent="0.2">
      <c r="A34" s="30" t="s">
        <v>24</v>
      </c>
      <c r="B34" s="16">
        <f>VLOOKUP('2019'!$A34,'CCNL Economico 2022'!$A$7:$D$38,4,FALSE)+VLOOKUP('2019'!$A34,'CCNL Economico 2022'!$A$7:$J$38,10,FALSE)</f>
        <v>19832.47</v>
      </c>
      <c r="C34" s="33">
        <f t="shared" si="0"/>
        <v>13499.510000000002</v>
      </c>
      <c r="D34" s="4"/>
      <c r="E34" s="4">
        <f>6332.96</f>
        <v>6332.96</v>
      </c>
      <c r="F34" s="4">
        <f>VLOOKUP($A34,'CCNL Economico 2022'!$Q$7:$S$37,3,FALSE)</f>
        <v>1246.1599999999999</v>
      </c>
      <c r="G34" s="4">
        <f>VLOOKUP($A34,'CCNL Economico 2022'!$A$7:$E$38,5,FALSE)</f>
        <v>264</v>
      </c>
      <c r="H34" s="4">
        <f t="shared" si="2"/>
        <v>1652.71</v>
      </c>
      <c r="I34" s="4">
        <f t="shared" si="3"/>
        <v>22995.34</v>
      </c>
      <c r="J34" s="4">
        <f t="shared" si="9"/>
        <v>6856.0123920000005</v>
      </c>
      <c r="K34" s="4">
        <f t="shared" si="4"/>
        <v>1955</v>
      </c>
      <c r="L34" s="4">
        <f t="shared" si="5"/>
        <v>31806.352392000001</v>
      </c>
      <c r="M34" s="23">
        <f t="shared" si="6"/>
        <v>8811.0123920000005</v>
      </c>
      <c r="N34" s="20" t="s">
        <v>24</v>
      </c>
      <c r="O34" s="66"/>
      <c r="P34" s="67"/>
      <c r="Q34" s="68"/>
      <c r="R34" s="68"/>
      <c r="S34" s="67"/>
      <c r="T34" s="67"/>
      <c r="V34" s="69"/>
      <c r="W34" s="69"/>
      <c r="X34" s="69"/>
      <c r="Y34" s="69"/>
      <c r="Z34" s="69"/>
      <c r="AA34" s="69"/>
    </row>
    <row r="35" spans="1:27" s="6" customFormat="1" x14ac:dyDescent="0.2">
      <c r="A35" s="27" t="s">
        <v>25</v>
      </c>
      <c r="B35" s="16">
        <f>VLOOKUP('2019'!$A35,'CCNL Economico 2022'!$A$7:$D$38,4,FALSE)+VLOOKUP('2019'!$A35,'CCNL Economico 2022'!$A$7:$J$38,10,FALSE)</f>
        <v>18991.39</v>
      </c>
      <c r="C35" s="33">
        <f t="shared" si="0"/>
        <v>12700.25</v>
      </c>
      <c r="D35" s="4"/>
      <c r="E35" s="4">
        <f>6291.14</f>
        <v>6291.14</v>
      </c>
      <c r="F35" s="4">
        <f>VLOOKUP($A35,'CCNL Economico 2022'!$Q$7:$S$37,3,FALSE)</f>
        <v>1246.1599999999999</v>
      </c>
      <c r="G35" s="4">
        <f>VLOOKUP($A35,'CCNL Economico 2022'!$A$7:$E$38,5,FALSE)</f>
        <v>300</v>
      </c>
      <c r="H35" s="4">
        <f t="shared" si="2"/>
        <v>1582.62</v>
      </c>
      <c r="I35" s="4">
        <f t="shared" si="3"/>
        <v>22120.17</v>
      </c>
      <c r="J35" s="4">
        <f t="shared" si="9"/>
        <v>6592.4667959999997</v>
      </c>
      <c r="K35" s="4">
        <f t="shared" si="4"/>
        <v>1880</v>
      </c>
      <c r="L35" s="4">
        <f t="shared" si="5"/>
        <v>30592.636795999999</v>
      </c>
      <c r="M35" s="23">
        <f t="shared" si="6"/>
        <v>8472.4667960000006</v>
      </c>
      <c r="N35" s="20" t="s">
        <v>25</v>
      </c>
      <c r="O35" s="66"/>
      <c r="P35" s="67"/>
      <c r="Q35" s="68"/>
      <c r="R35" s="68"/>
      <c r="S35" s="67"/>
      <c r="T35" s="67"/>
      <c r="V35" s="69"/>
      <c r="W35" s="69"/>
      <c r="X35" s="69"/>
      <c r="Y35" s="69"/>
      <c r="Z35" s="69"/>
      <c r="AA35" s="69"/>
    </row>
    <row r="36" spans="1:27" s="6" customFormat="1" ht="13.5" thickBot="1" x14ac:dyDescent="0.25">
      <c r="A36" s="31" t="s">
        <v>26</v>
      </c>
      <c r="B36" s="17">
        <f>VLOOKUP('2019'!$A36,'CCNL Economico 2022'!$A$7:$D$38,4,FALSE)+VLOOKUP('2019'!$A36,'CCNL Economico 2022'!$A$7:$J$38,10,FALSE)</f>
        <v>17866.219999999998</v>
      </c>
      <c r="C36" s="35">
        <f t="shared" si="0"/>
        <v>11629.699999999997</v>
      </c>
      <c r="D36" s="5"/>
      <c r="E36" s="5">
        <f>6236.52</f>
        <v>6236.52</v>
      </c>
      <c r="F36" s="5">
        <f>VLOOKUP($A36,'CCNL Economico 2022'!$Q$7:$S$37,3,FALSE)</f>
        <v>1246.1599999999999</v>
      </c>
      <c r="G36" s="5">
        <f>VLOOKUP($A36,'CCNL Economico 2022'!$A$7:$E$38,5,FALSE)</f>
        <v>336</v>
      </c>
      <c r="H36" s="5">
        <f t="shared" si="2"/>
        <v>1488.85</v>
      </c>
      <c r="I36" s="5">
        <f t="shared" si="3"/>
        <v>20937.229999999996</v>
      </c>
      <c r="J36" s="5">
        <f t="shared" si="9"/>
        <v>6236.959523999999</v>
      </c>
      <c r="K36" s="5">
        <f t="shared" si="4"/>
        <v>1780</v>
      </c>
      <c r="L36" s="5">
        <f t="shared" si="5"/>
        <v>28954.189523999994</v>
      </c>
      <c r="M36" s="24">
        <f t="shared" si="6"/>
        <v>8016.959523999999</v>
      </c>
      <c r="N36" s="21" t="s">
        <v>26</v>
      </c>
      <c r="O36" s="66"/>
      <c r="P36" s="67"/>
      <c r="Q36" s="68"/>
      <c r="R36" s="68"/>
      <c r="S36" s="67"/>
      <c r="T36" s="67"/>
      <c r="V36" s="69"/>
      <c r="W36" s="69"/>
      <c r="X36" s="69"/>
      <c r="Y36" s="69"/>
      <c r="Z36" s="69"/>
      <c r="AA36" s="69"/>
    </row>
    <row r="37" spans="1:27" x14ac:dyDescent="0.2">
      <c r="V37"/>
      <c r="W37"/>
      <c r="X37"/>
      <c r="Y37"/>
      <c r="Z37"/>
      <c r="AA37"/>
    </row>
    <row r="38" spans="1:27" x14ac:dyDescent="0.2">
      <c r="V38"/>
      <c r="W38"/>
      <c r="X38"/>
      <c r="Y38"/>
      <c r="Z38"/>
      <c r="AA38"/>
    </row>
    <row r="39" spans="1:27" s="6" customFormat="1" x14ac:dyDescent="0.2">
      <c r="G39" s="18"/>
      <c r="V39"/>
      <c r="W39"/>
      <c r="X39"/>
      <c r="Y39"/>
      <c r="Z39"/>
      <c r="AA39"/>
    </row>
    <row r="40" spans="1:27" x14ac:dyDescent="0.2">
      <c r="V40"/>
      <c r="W40"/>
      <c r="X40"/>
      <c r="Y40"/>
      <c r="Z40"/>
      <c r="AA40"/>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D5EB-343E-4A37-83D1-569E10612471}">
  <sheetPr codeName="Foglio7"/>
  <dimension ref="A1:AB40"/>
  <sheetViews>
    <sheetView zoomScaleNormal="100" workbookViewId="0">
      <selection activeCell="A2" sqref="A2"/>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0.28515625" style="6" customWidth="1"/>
    <col min="8" max="8" width="12.28515625" style="6" customWidth="1"/>
    <col min="9" max="9" width="9.7109375" style="6" bestFit="1" customWidth="1"/>
    <col min="10" max="10" width="10.85546875" style="6" customWidth="1"/>
    <col min="11" max="11" width="10.7109375" style="6" customWidth="1"/>
    <col min="12" max="12" width="12" style="6" customWidth="1"/>
    <col min="13" max="14" width="10.7109375" style="6" customWidth="1"/>
    <col min="15" max="15" width="6.28515625" style="6" customWidth="1"/>
    <col min="16" max="16" width="10.28515625" style="6" bestFit="1" customWidth="1"/>
    <col min="17" max="17" width="11.85546875" style="9" bestFit="1" customWidth="1"/>
    <col min="18" max="20" width="9.28515625" style="9" bestFit="1" customWidth="1"/>
    <col min="21" max="21" width="10.85546875" style="9" bestFit="1" customWidth="1"/>
    <col min="22" max="22" width="9.140625" style="9"/>
    <col min="23" max="23" width="10.28515625" style="9" bestFit="1" customWidth="1"/>
    <col min="24" max="24" width="11.85546875" style="9" bestFit="1" customWidth="1"/>
    <col min="25" max="27" width="9.28515625" style="9" bestFit="1" customWidth="1"/>
    <col min="28" max="28" width="10.85546875" style="9" bestFit="1" customWidth="1"/>
    <col min="29" max="16384" width="9.140625" style="9"/>
  </cols>
  <sheetData>
    <row r="1" spans="1:28" ht="15.75" x14ac:dyDescent="0.2">
      <c r="B1" s="8"/>
    </row>
    <row r="2" spans="1:28" ht="18.75" x14ac:dyDescent="0.2">
      <c r="A2" s="2" t="s">
        <v>214</v>
      </c>
    </row>
    <row r="3" spans="1:28" x14ac:dyDescent="0.2">
      <c r="A3" s="10" t="s">
        <v>153</v>
      </c>
      <c r="B3" s="10"/>
      <c r="C3" s="10"/>
      <c r="D3" s="10"/>
    </row>
    <row r="4" spans="1:28" ht="13.5" thickBot="1" x14ac:dyDescent="0.25">
      <c r="A4" s="11"/>
    </row>
    <row r="5" spans="1:28" s="14" customFormat="1" ht="64.5" thickBot="1" x14ac:dyDescent="0.25">
      <c r="A5" s="12" t="s">
        <v>27</v>
      </c>
      <c r="B5" s="32" t="s">
        <v>46</v>
      </c>
      <c r="C5" s="7" t="s">
        <v>33</v>
      </c>
      <c r="D5" s="7" t="s">
        <v>36</v>
      </c>
      <c r="E5" s="7" t="s">
        <v>35</v>
      </c>
      <c r="F5" s="7" t="s">
        <v>42</v>
      </c>
      <c r="G5" s="7" t="s">
        <v>41</v>
      </c>
      <c r="H5" s="7" t="s">
        <v>103</v>
      </c>
      <c r="I5" s="7" t="s">
        <v>34</v>
      </c>
      <c r="J5" s="7" t="s">
        <v>32</v>
      </c>
      <c r="K5" s="7" t="s">
        <v>37</v>
      </c>
      <c r="L5" s="7" t="s">
        <v>38</v>
      </c>
      <c r="M5" s="7" t="s">
        <v>39</v>
      </c>
      <c r="N5" s="13" t="s">
        <v>40</v>
      </c>
      <c r="O5" s="12" t="s">
        <v>27</v>
      </c>
      <c r="P5" s="25"/>
    </row>
    <row r="6" spans="1:28" x14ac:dyDescent="0.2">
      <c r="A6" s="26" t="s">
        <v>43</v>
      </c>
      <c r="B6" s="15">
        <f>VLOOKUP('2019'!$A6,'CCNL Economico 2022'!$A$7:$D$38,4,FALSE)+VLOOKUP('2019'!$A6,'CCNL Economico 2022'!$A$7:$J$38,10,FALSE)</f>
        <v>38097.919999999998</v>
      </c>
      <c r="C6" s="34">
        <f t="shared" ref="C6:C36" si="0">B6-E6</f>
        <v>31279.69</v>
      </c>
      <c r="D6" s="3">
        <v>3099</v>
      </c>
      <c r="E6" s="3">
        <f>6818.23</f>
        <v>6818.23</v>
      </c>
      <c r="F6" s="3">
        <f>VLOOKUP($A6,'CCNL Economico 2022'!$Q$7:$S$37,3,FALSE)</f>
        <v>3821.77</v>
      </c>
      <c r="G6" s="3">
        <f>VLOOKUP($A6,'CCNL Economico 2022'!$A$7:$E$38,5,FALSE)</f>
        <v>0</v>
      </c>
      <c r="H6" s="3">
        <f>VLOOKUP(A6,'Emonum Acc 2023'!$B$8:$C$43,2,FALSE)*12</f>
        <v>568.68000000000006</v>
      </c>
      <c r="I6" s="3">
        <f>ROUND((B6)/12,2)</f>
        <v>3174.83</v>
      </c>
      <c r="J6" s="3">
        <f>B6+D6+G6+H6+I6+F6</f>
        <v>48762.2</v>
      </c>
      <c r="K6" s="3">
        <f>ROUND((C6)*34.24%+D6*24.2%,2)+ROUND((F6*29.88%+I6*29.88%+E6*29.88%),2)+ROUND((G6+H6)*24.2%,2)</f>
        <v>15725.610000000002</v>
      </c>
      <c r="L6" s="3">
        <f>ROUND(J6*8.5%,0)</f>
        <v>4145</v>
      </c>
      <c r="M6" s="3">
        <f>J6+K6+L6</f>
        <v>68632.81</v>
      </c>
      <c r="N6" s="22">
        <f>K6+L6</f>
        <v>19870.61</v>
      </c>
      <c r="O6" s="15" t="str">
        <f>A6</f>
        <v>EP8</v>
      </c>
      <c r="P6" s="66"/>
      <c r="Q6" s="67"/>
      <c r="R6" s="68"/>
      <c r="S6" s="68"/>
      <c r="T6" s="67"/>
      <c r="U6" s="67"/>
      <c r="W6" s="69"/>
      <c r="X6" s="69"/>
      <c r="Y6" s="69"/>
      <c r="Z6" s="69"/>
      <c r="AA6" s="69"/>
      <c r="AB6" s="69"/>
    </row>
    <row r="7" spans="1:28" x14ac:dyDescent="0.2">
      <c r="A7" s="27" t="s">
        <v>0</v>
      </c>
      <c r="B7" s="16">
        <f>VLOOKUP('2019'!$A7,'CCNL Economico 2022'!$A$7:$D$38,4,FALSE)+VLOOKUP('2019'!$A7,'CCNL Economico 2022'!$A$7:$J$38,10,FALSE)</f>
        <v>36992.400000000001</v>
      </c>
      <c r="C7" s="33">
        <f>B7-E7</f>
        <v>30174.170000000002</v>
      </c>
      <c r="D7" s="4">
        <v>3099</v>
      </c>
      <c r="E7" s="4">
        <f>6818.23</f>
        <v>6818.23</v>
      </c>
      <c r="F7" s="4">
        <f>VLOOKUP($A7,'CCNL Economico 2022'!$Q$7:$S$37,3,FALSE)</f>
        <v>3821.77</v>
      </c>
      <c r="G7" s="4">
        <f>VLOOKUP($A7,'CCNL Economico 2022'!$A$7:$E$38,5,FALSE)</f>
        <v>0</v>
      </c>
      <c r="H7" s="4">
        <f>VLOOKUP(A7,'Emonum Acc 2023'!$B$8:$C$43,2,FALSE)*12</f>
        <v>552.12</v>
      </c>
      <c r="I7" s="4">
        <f>ROUND((B7)/12,2)</f>
        <v>3082.7</v>
      </c>
      <c r="J7" s="4">
        <f t="shared" ref="J7:J36" si="1">B7+D7+G7+H7+I7+F7</f>
        <v>47547.99</v>
      </c>
      <c r="K7" s="4">
        <f t="shared" ref="K7:K13" si="2">ROUND((C7)*34.24%+D7*24.2%,2)+ROUND((F7*29.88%+I7*29.88%+E7*29.88%),2)+ROUND((G7+H7)*24.2%,2)</f>
        <v>15315.54</v>
      </c>
      <c r="L7" s="4">
        <f>ROUND(J7*8.5%,0)</f>
        <v>4042</v>
      </c>
      <c r="M7" s="4">
        <f>J7+K7+L7</f>
        <v>66905.53</v>
      </c>
      <c r="N7" s="23">
        <f>K7+L7</f>
        <v>19357.54</v>
      </c>
      <c r="O7" s="16" t="str">
        <f>A7</f>
        <v>EP7</v>
      </c>
      <c r="P7" s="66"/>
      <c r="Q7" s="67"/>
      <c r="R7" s="68"/>
      <c r="S7" s="68"/>
      <c r="T7" s="67"/>
      <c r="U7" s="67"/>
      <c r="W7" s="69"/>
      <c r="X7" s="69"/>
      <c r="Y7" s="69"/>
      <c r="Z7" s="69"/>
      <c r="AA7" s="69"/>
      <c r="AB7" s="69"/>
    </row>
    <row r="8" spans="1:28" x14ac:dyDescent="0.2">
      <c r="A8" s="28" t="s">
        <v>1</v>
      </c>
      <c r="B8" s="16">
        <f>VLOOKUP('2019'!$A8,'CCNL Economico 2022'!$A$7:$D$38,4,FALSE)+VLOOKUP('2019'!$A8,'CCNL Economico 2022'!$A$7:$J$38,10,FALSE)</f>
        <v>35575.949999999997</v>
      </c>
      <c r="C8" s="33">
        <f t="shared" si="0"/>
        <v>28757.719999999998</v>
      </c>
      <c r="D8" s="4">
        <v>3099</v>
      </c>
      <c r="E8" s="4">
        <f>6818.23</f>
        <v>6818.23</v>
      </c>
      <c r="F8" s="4">
        <f>VLOOKUP($A8,'CCNL Economico 2022'!$Q$7:$S$37,3,FALSE)</f>
        <v>3821.77</v>
      </c>
      <c r="G8" s="4">
        <f>VLOOKUP($A8,'CCNL Economico 2022'!$A$7:$E$38,5,FALSE)</f>
        <v>0</v>
      </c>
      <c r="H8" s="4">
        <f>VLOOKUP(A8,'Emonum Acc 2023'!$B$8:$C$43,2,FALSE)*12</f>
        <v>531</v>
      </c>
      <c r="I8" s="4">
        <f t="shared" ref="I8:I36" si="3">ROUND((B8)/12,2)</f>
        <v>2964.66</v>
      </c>
      <c r="J8" s="4">
        <f t="shared" si="1"/>
        <v>45992.38</v>
      </c>
      <c r="K8" s="4">
        <f t="shared" si="2"/>
        <v>14790.17</v>
      </c>
      <c r="L8" s="4">
        <f>ROUND(J8*8.5%,0)</f>
        <v>3909</v>
      </c>
      <c r="M8" s="4">
        <f>J8+K8+L8</f>
        <v>64691.549999999996</v>
      </c>
      <c r="N8" s="23">
        <f>K8+L8</f>
        <v>18699.169999999998</v>
      </c>
      <c r="O8" s="16" t="str">
        <f>A8</f>
        <v>EP6</v>
      </c>
      <c r="P8" s="66"/>
      <c r="Q8" s="67"/>
      <c r="R8" s="68"/>
      <c r="S8" s="68"/>
      <c r="T8" s="67"/>
      <c r="U8" s="67"/>
      <c r="W8" s="69"/>
      <c r="X8" s="69"/>
      <c r="Y8" s="69"/>
      <c r="Z8" s="69"/>
      <c r="AA8" s="69"/>
      <c r="AB8" s="69"/>
    </row>
    <row r="9" spans="1:28" x14ac:dyDescent="0.2">
      <c r="A9" s="28" t="s">
        <v>2</v>
      </c>
      <c r="B9" s="16">
        <f>VLOOKUP('2019'!$A9,'CCNL Economico 2022'!$A$7:$D$38,4,FALSE)+VLOOKUP('2019'!$A9,'CCNL Economico 2022'!$A$7:$J$38,10,FALSE)</f>
        <v>34219.33</v>
      </c>
      <c r="C9" s="33">
        <f t="shared" si="0"/>
        <v>27401.100000000002</v>
      </c>
      <c r="D9" s="4">
        <v>3099</v>
      </c>
      <c r="E9" s="4">
        <f>6818.23</f>
        <v>6818.23</v>
      </c>
      <c r="F9" s="4">
        <f>VLOOKUP($A9,'CCNL Economico 2022'!$Q$7:$S$37,3,FALSE)</f>
        <v>3821.77</v>
      </c>
      <c r="G9" s="4">
        <f>VLOOKUP($A9,'CCNL Economico 2022'!$A$7:$E$38,5,FALSE)</f>
        <v>0</v>
      </c>
      <c r="H9" s="4">
        <f>VLOOKUP(A9,'Emonum Acc 2023'!$B$8:$C$43,2,FALSE)*12</f>
        <v>510.72</v>
      </c>
      <c r="I9" s="4">
        <f t="shared" si="3"/>
        <v>2851.61</v>
      </c>
      <c r="J9" s="4">
        <f t="shared" si="1"/>
        <v>44502.43</v>
      </c>
      <c r="K9" s="4">
        <f t="shared" si="2"/>
        <v>14286.970000000001</v>
      </c>
      <c r="L9" s="4">
        <f t="shared" ref="L9:L36" si="4">ROUND(J9*8.5%,0)</f>
        <v>3783</v>
      </c>
      <c r="M9" s="4">
        <f t="shared" ref="M9:M36" si="5">J9+K9+L9</f>
        <v>62572.4</v>
      </c>
      <c r="N9" s="23">
        <f t="shared" ref="N9:N36" si="6">K9+L9</f>
        <v>18069.97</v>
      </c>
      <c r="O9" s="16" t="s">
        <v>2</v>
      </c>
      <c r="P9" s="66"/>
      <c r="Q9" s="67"/>
      <c r="R9" s="68"/>
      <c r="S9" s="68"/>
      <c r="T9" s="67"/>
      <c r="U9" s="67"/>
      <c r="W9" s="69"/>
      <c r="X9" s="69"/>
      <c r="Y9" s="69"/>
      <c r="Z9" s="69"/>
      <c r="AA9" s="69"/>
      <c r="AB9" s="69"/>
    </row>
    <row r="10" spans="1:28" x14ac:dyDescent="0.2">
      <c r="A10" s="27" t="s">
        <v>3</v>
      </c>
      <c r="B10" s="16">
        <f>VLOOKUP('2019'!$A10,'CCNL Economico 2022'!$A$7:$D$38,4,FALSE)+VLOOKUP('2019'!$A10,'CCNL Economico 2022'!$A$7:$J$38,10,FALSE)</f>
        <v>32755.629999999997</v>
      </c>
      <c r="C10" s="33">
        <f t="shared" si="0"/>
        <v>25937.399999999998</v>
      </c>
      <c r="D10" s="4">
        <v>3099</v>
      </c>
      <c r="E10" s="4">
        <f>6818.23</f>
        <v>6818.23</v>
      </c>
      <c r="F10" s="4">
        <f>VLOOKUP($A10,'CCNL Economico 2022'!$Q$7:$S$37,3,FALSE)</f>
        <v>3821.77</v>
      </c>
      <c r="G10" s="4">
        <f>VLOOKUP($A10,'CCNL Economico 2022'!$A$7:$E$38,5,FALSE)</f>
        <v>0</v>
      </c>
      <c r="H10" s="4">
        <f>VLOOKUP(A10,'Emonum Acc 2023'!$B$8:$C$43,2,FALSE)*12</f>
        <v>488.88</v>
      </c>
      <c r="I10" s="4">
        <f t="shared" si="3"/>
        <v>2729.64</v>
      </c>
      <c r="J10" s="4">
        <f t="shared" si="1"/>
        <v>42894.919999999991</v>
      </c>
      <c r="K10" s="4">
        <f t="shared" si="2"/>
        <v>13744.08</v>
      </c>
      <c r="L10" s="4">
        <f t="shared" si="4"/>
        <v>3646</v>
      </c>
      <c r="M10" s="4">
        <f t="shared" si="5"/>
        <v>60284.999999999993</v>
      </c>
      <c r="N10" s="23">
        <f t="shared" si="6"/>
        <v>17390.080000000002</v>
      </c>
      <c r="O10" s="16" t="s">
        <v>3</v>
      </c>
      <c r="P10" s="66"/>
      <c r="Q10" s="67"/>
      <c r="R10" s="68"/>
      <c r="S10" s="68"/>
      <c r="T10" s="67"/>
      <c r="U10" s="67"/>
      <c r="W10" s="69"/>
      <c r="X10" s="69"/>
      <c r="Y10" s="69"/>
      <c r="Z10" s="69"/>
      <c r="AA10" s="69"/>
      <c r="AB10" s="69"/>
    </row>
    <row r="11" spans="1:28" x14ac:dyDescent="0.2">
      <c r="A11" s="28" t="s">
        <v>4</v>
      </c>
      <c r="B11" s="16">
        <f>VLOOKUP('2019'!$A11,'CCNL Economico 2022'!$A$7:$D$38,4,FALSE)+VLOOKUP('2019'!$A11,'CCNL Economico 2022'!$A$7:$J$38,10,FALSE)</f>
        <v>30359.86</v>
      </c>
      <c r="C11" s="33">
        <f t="shared" si="0"/>
        <v>23677.599999999999</v>
      </c>
      <c r="D11" s="4">
        <v>3099</v>
      </c>
      <c r="E11" s="4">
        <f>6682.26</f>
        <v>6682.26</v>
      </c>
      <c r="F11" s="4">
        <f>VLOOKUP($A11,'CCNL Economico 2022'!$Q$7:$S$37,3,FALSE)</f>
        <v>2909.4</v>
      </c>
      <c r="G11" s="4">
        <f>VLOOKUP($A11,'CCNL Economico 2022'!$A$7:$E$38,5,FALSE)</f>
        <v>0</v>
      </c>
      <c r="H11" s="4">
        <f>VLOOKUP(A11,'Emonum Acc 2023'!$B$8:$C$43,2,FALSE)*12</f>
        <v>453.12</v>
      </c>
      <c r="I11" s="4">
        <f t="shared" si="3"/>
        <v>2529.9899999999998</v>
      </c>
      <c r="J11" s="4">
        <f t="shared" si="1"/>
        <v>39351.370000000003</v>
      </c>
      <c r="K11" s="4">
        <f t="shared" si="2"/>
        <v>12588.779999999999</v>
      </c>
      <c r="L11" s="4">
        <f t="shared" si="4"/>
        <v>3345</v>
      </c>
      <c r="M11" s="4">
        <f t="shared" si="5"/>
        <v>55285.15</v>
      </c>
      <c r="N11" s="23">
        <f t="shared" si="6"/>
        <v>15933.779999999999</v>
      </c>
      <c r="O11" s="16" t="s">
        <v>4</v>
      </c>
      <c r="P11" s="66"/>
      <c r="Q11" s="67"/>
      <c r="R11" s="68"/>
      <c r="S11" s="68"/>
      <c r="T11" s="67"/>
      <c r="U11" s="67"/>
      <c r="W11" s="69"/>
      <c r="X11" s="69"/>
      <c r="Y11" s="69"/>
      <c r="Z11" s="69"/>
      <c r="AA11" s="69"/>
      <c r="AB11" s="69"/>
    </row>
    <row r="12" spans="1:28" x14ac:dyDescent="0.2">
      <c r="A12" s="28" t="s">
        <v>5</v>
      </c>
      <c r="B12" s="16">
        <f>VLOOKUP('2019'!$A12,'CCNL Economico 2022'!$A$7:$D$38,4,FALSE)+VLOOKUP('2019'!$A12,'CCNL Economico 2022'!$A$7:$J$38,10,FALSE)</f>
        <v>28736.359999999997</v>
      </c>
      <c r="C12" s="33">
        <f t="shared" si="0"/>
        <v>22054.1</v>
      </c>
      <c r="D12" s="4">
        <v>3099</v>
      </c>
      <c r="E12" s="4">
        <f>6682.26</f>
        <v>6682.26</v>
      </c>
      <c r="F12" s="4">
        <f>VLOOKUP($A12,'CCNL Economico 2022'!$Q$7:$S$37,3,FALSE)</f>
        <v>2909.4</v>
      </c>
      <c r="G12" s="4">
        <f>VLOOKUP($A12,'CCNL Economico 2022'!$A$7:$E$38,5,FALSE)</f>
        <v>0</v>
      </c>
      <c r="H12" s="4">
        <f>VLOOKUP(A12,'Emonum Acc 2023'!$B$8:$C$43,2,FALSE)*12</f>
        <v>428.88</v>
      </c>
      <c r="I12" s="4">
        <f t="shared" si="3"/>
        <v>2394.6999999999998</v>
      </c>
      <c r="J12" s="4">
        <f t="shared" si="1"/>
        <v>37568.339999999997</v>
      </c>
      <c r="K12" s="4">
        <f t="shared" si="2"/>
        <v>11986.590000000002</v>
      </c>
      <c r="L12" s="4">
        <f t="shared" si="4"/>
        <v>3193</v>
      </c>
      <c r="M12" s="4">
        <f t="shared" si="5"/>
        <v>52747.93</v>
      </c>
      <c r="N12" s="23">
        <f t="shared" si="6"/>
        <v>15179.590000000002</v>
      </c>
      <c r="O12" s="16" t="s">
        <v>5</v>
      </c>
      <c r="P12" s="66"/>
      <c r="Q12" s="67"/>
      <c r="R12" s="68"/>
      <c r="S12" s="68"/>
      <c r="T12" s="67"/>
      <c r="U12" s="67"/>
      <c r="W12" s="69"/>
      <c r="X12" s="69"/>
      <c r="Y12" s="69"/>
      <c r="Z12" s="69"/>
      <c r="AA12" s="69"/>
      <c r="AB12" s="69"/>
    </row>
    <row r="13" spans="1:28" ht="13.5" thickBot="1" x14ac:dyDescent="0.25">
      <c r="A13" s="29" t="s">
        <v>6</v>
      </c>
      <c r="B13" s="36">
        <f>VLOOKUP('2019'!$A13,'CCNL Economico 2022'!$A$7:$D$38,4,FALSE)+VLOOKUP('2019'!$A13,'CCNL Economico 2022'!$A$7:$J$38,10,FALSE)</f>
        <v>27024.45</v>
      </c>
      <c r="C13" s="35">
        <f t="shared" si="0"/>
        <v>20342.190000000002</v>
      </c>
      <c r="D13" s="5">
        <v>3099</v>
      </c>
      <c r="E13" s="5">
        <f>6682.26</f>
        <v>6682.26</v>
      </c>
      <c r="F13" s="5">
        <f>VLOOKUP($A13,'CCNL Economico 2022'!$Q$7:$S$37,3,FALSE)</f>
        <v>2909.4</v>
      </c>
      <c r="G13" s="5">
        <f>VLOOKUP($A13,'CCNL Economico 2022'!$A$7:$E$38,5,FALSE)</f>
        <v>0</v>
      </c>
      <c r="H13" s="5">
        <f>VLOOKUP(A13,'Emonum Acc 2023'!$B$8:$C$43,2,FALSE)*12</f>
        <v>403.32</v>
      </c>
      <c r="I13" s="5">
        <f t="shared" si="3"/>
        <v>2252.04</v>
      </c>
      <c r="J13" s="5">
        <f t="shared" si="1"/>
        <v>35688.21</v>
      </c>
      <c r="K13" s="5">
        <f t="shared" si="2"/>
        <v>11351.62</v>
      </c>
      <c r="L13" s="5">
        <f t="shared" si="4"/>
        <v>3033</v>
      </c>
      <c r="M13" s="5">
        <f t="shared" si="5"/>
        <v>50072.83</v>
      </c>
      <c r="N13" s="24">
        <f t="shared" si="6"/>
        <v>14384.62</v>
      </c>
      <c r="O13" s="17" t="s">
        <v>6</v>
      </c>
      <c r="P13" s="66"/>
      <c r="Q13" s="67"/>
      <c r="R13" s="68"/>
      <c r="S13" s="68"/>
      <c r="T13" s="67"/>
      <c r="U13" s="67"/>
      <c r="W13" s="69"/>
      <c r="X13" s="69"/>
      <c r="Y13" s="69"/>
      <c r="Z13" s="69"/>
      <c r="AA13" s="69"/>
      <c r="AB13" s="69"/>
    </row>
    <row r="14" spans="1:28" x14ac:dyDescent="0.2">
      <c r="A14" s="26" t="s">
        <v>44</v>
      </c>
      <c r="B14" s="15">
        <f>VLOOKUP('2019'!$A14,'CCNL Economico 2022'!$A$7:$D$38,4,FALSE)+VLOOKUP('2019'!$A14,'CCNL Economico 2022'!$A$7:$J$38,10,FALSE)</f>
        <v>31217.34</v>
      </c>
      <c r="C14" s="34">
        <f t="shared" si="0"/>
        <v>24672.1</v>
      </c>
      <c r="D14" s="3"/>
      <c r="E14" s="3">
        <f>6545.24</f>
        <v>6545.24</v>
      </c>
      <c r="F14" s="3">
        <f>VLOOKUP($A14,'CCNL Economico 2022'!$Q$7:$S$37,3,FALSE)</f>
        <v>2422.16</v>
      </c>
      <c r="G14" s="3">
        <f>VLOOKUP($A14,'CCNL Economico 2022'!$A$7:$E$38,5,FALSE)</f>
        <v>0</v>
      </c>
      <c r="H14" s="3">
        <f>VLOOKUP(A14,'Emonum Acc 2023'!$B$8:$C$43,2,FALSE)*12</f>
        <v>465.96</v>
      </c>
      <c r="I14" s="3">
        <f t="shared" si="3"/>
        <v>2601.4499999999998</v>
      </c>
      <c r="J14" s="3">
        <f t="shared" si="1"/>
        <v>36706.910000000003</v>
      </c>
      <c r="K14" s="3">
        <f>ROUND((J14-(G14+H14))*29.88%+(G14+H14)*24.2%,2)</f>
        <v>10941.56</v>
      </c>
      <c r="L14" s="3">
        <f>ROUND(J14*8.5%,0)</f>
        <v>3120</v>
      </c>
      <c r="M14" s="3">
        <f>J14+K14+L14</f>
        <v>50768.47</v>
      </c>
      <c r="N14" s="22">
        <f>K14+L14</f>
        <v>14061.56</v>
      </c>
      <c r="O14" s="19" t="str">
        <f>A14</f>
        <v>D8</v>
      </c>
      <c r="P14" s="66"/>
      <c r="Q14" s="67"/>
      <c r="R14" s="68"/>
      <c r="S14" s="68"/>
      <c r="T14" s="67"/>
      <c r="U14" s="67"/>
      <c r="W14" s="69"/>
      <c r="X14" s="69"/>
      <c r="Y14" s="69"/>
      <c r="Z14" s="69"/>
      <c r="AA14" s="69"/>
      <c r="AB14" s="69"/>
    </row>
    <row r="15" spans="1:28" x14ac:dyDescent="0.2">
      <c r="A15" s="27" t="s">
        <v>7</v>
      </c>
      <c r="B15" s="16">
        <f>VLOOKUP('2019'!$A15,'CCNL Economico 2022'!$A$7:$D$38,4,FALSE)+VLOOKUP('2019'!$A15,'CCNL Economico 2022'!$A$7:$J$38,10,FALSE)</f>
        <v>30312.9</v>
      </c>
      <c r="C15" s="33">
        <f>B15-E15</f>
        <v>23767.660000000003</v>
      </c>
      <c r="D15" s="4"/>
      <c r="E15" s="4">
        <f t="shared" ref="E15:E21" si="7">6545.24</f>
        <v>6545.24</v>
      </c>
      <c r="F15" s="4">
        <f>VLOOKUP($A15,'CCNL Economico 2022'!$Q$7:$S$37,3,FALSE)</f>
        <v>2422.16</v>
      </c>
      <c r="G15" s="4">
        <f>VLOOKUP($A15,'CCNL Economico 2022'!$A$7:$E$38,5,FALSE)</f>
        <v>0</v>
      </c>
      <c r="H15" s="4">
        <f>VLOOKUP(A15,'Emonum Acc 2023'!$B$8:$C$43,2,FALSE)*12</f>
        <v>452.40000000000003</v>
      </c>
      <c r="I15" s="4">
        <f>ROUND((B15)/12,2)</f>
        <v>2526.08</v>
      </c>
      <c r="J15" s="4">
        <f t="shared" si="1"/>
        <v>35713.540000000008</v>
      </c>
      <c r="K15" s="4">
        <f t="shared" ref="K15:K36" si="8">ROUND((J15-(G15+H15))*29.88%+(G15+H15)*24.2%,2)</f>
        <v>10645.51</v>
      </c>
      <c r="L15" s="4">
        <f>ROUND(J15*8.5%,0)</f>
        <v>3036</v>
      </c>
      <c r="M15" s="4">
        <f>J15+K15+L15</f>
        <v>49395.05000000001</v>
      </c>
      <c r="N15" s="23">
        <f>K15+L15</f>
        <v>13681.51</v>
      </c>
      <c r="O15" s="20" t="str">
        <f>A15</f>
        <v>D7</v>
      </c>
      <c r="P15" s="66"/>
      <c r="Q15" s="67"/>
      <c r="R15" s="68"/>
      <c r="S15" s="68"/>
      <c r="T15" s="67"/>
      <c r="U15" s="67"/>
      <c r="W15" s="69"/>
      <c r="X15" s="69"/>
      <c r="Y15" s="69"/>
      <c r="Z15" s="69"/>
      <c r="AA15" s="69"/>
      <c r="AB15" s="69"/>
    </row>
    <row r="16" spans="1:28" x14ac:dyDescent="0.2">
      <c r="A16" s="28" t="s">
        <v>8</v>
      </c>
      <c r="B16" s="16">
        <f>VLOOKUP('2019'!$A16,'CCNL Economico 2022'!$A$7:$D$38,4,FALSE)+VLOOKUP('2019'!$A16,'CCNL Economico 2022'!$A$7:$J$38,10,FALSE)</f>
        <v>29251.24</v>
      </c>
      <c r="C16" s="33">
        <f t="shared" si="0"/>
        <v>22706</v>
      </c>
      <c r="D16" s="4"/>
      <c r="E16" s="4">
        <f t="shared" si="7"/>
        <v>6545.24</v>
      </c>
      <c r="F16" s="4">
        <f>VLOOKUP($A16,'CCNL Economico 2022'!$Q$7:$S$37,3,FALSE)</f>
        <v>2422.16</v>
      </c>
      <c r="G16" s="4">
        <f>VLOOKUP($A16,'CCNL Economico 2022'!$A$7:$E$38,5,FALSE)</f>
        <v>0</v>
      </c>
      <c r="H16" s="4">
        <f>VLOOKUP(A16,'Emonum Acc 2023'!$B$8:$C$43,2,FALSE)*12</f>
        <v>436.56000000000006</v>
      </c>
      <c r="I16" s="4">
        <f t="shared" si="3"/>
        <v>2437.6</v>
      </c>
      <c r="J16" s="4">
        <f t="shared" si="1"/>
        <v>34547.56</v>
      </c>
      <c r="K16" s="4">
        <f t="shared" si="8"/>
        <v>10298.01</v>
      </c>
      <c r="L16" s="4">
        <f>ROUND(J16*8.5%,0)</f>
        <v>2937</v>
      </c>
      <c r="M16" s="4">
        <f>J16+K16+L16</f>
        <v>47782.57</v>
      </c>
      <c r="N16" s="23">
        <f>K16+L16</f>
        <v>13235.01</v>
      </c>
      <c r="O16" s="20" t="str">
        <f>A16</f>
        <v>D6</v>
      </c>
      <c r="P16" s="66"/>
      <c r="Q16" s="67"/>
      <c r="R16" s="68"/>
      <c r="S16" s="68"/>
      <c r="T16" s="67"/>
      <c r="U16" s="67"/>
      <c r="W16" s="69"/>
      <c r="X16" s="69"/>
      <c r="Y16" s="69"/>
      <c r="Z16" s="69"/>
      <c r="AA16" s="69"/>
      <c r="AB16" s="69"/>
    </row>
    <row r="17" spans="1:28" x14ac:dyDescent="0.2">
      <c r="A17" s="28" t="s">
        <v>9</v>
      </c>
      <c r="B17" s="16">
        <f>VLOOKUP('2019'!$A17,'CCNL Economico 2022'!$A$7:$D$38,4,FALSE)+VLOOKUP('2019'!$A17,'CCNL Economico 2022'!$A$7:$J$38,10,FALSE)</f>
        <v>28232.100000000002</v>
      </c>
      <c r="C17" s="33">
        <f t="shared" si="0"/>
        <v>21686.86</v>
      </c>
      <c r="D17" s="4"/>
      <c r="E17" s="4">
        <f t="shared" si="7"/>
        <v>6545.24</v>
      </c>
      <c r="F17" s="4">
        <f>VLOOKUP($A17,'CCNL Economico 2022'!$Q$7:$S$37,3,FALSE)</f>
        <v>2422.16</v>
      </c>
      <c r="G17" s="4">
        <f>VLOOKUP($A17,'CCNL Economico 2022'!$A$7:$E$38,5,FALSE)</f>
        <v>0</v>
      </c>
      <c r="H17" s="4">
        <f>VLOOKUP(A17,'Emonum Acc 2023'!$B$8:$C$43,2,FALSE)*12</f>
        <v>421.32</v>
      </c>
      <c r="I17" s="4">
        <f t="shared" si="3"/>
        <v>2352.6799999999998</v>
      </c>
      <c r="J17" s="4">
        <f t="shared" si="1"/>
        <v>33428.26</v>
      </c>
      <c r="K17" s="4">
        <f t="shared" si="8"/>
        <v>9964.43</v>
      </c>
      <c r="L17" s="4">
        <f t="shared" si="4"/>
        <v>2841</v>
      </c>
      <c r="M17" s="4">
        <f t="shared" si="5"/>
        <v>46233.69</v>
      </c>
      <c r="N17" s="23">
        <f t="shared" si="6"/>
        <v>12805.43</v>
      </c>
      <c r="O17" s="20" t="s">
        <v>9</v>
      </c>
      <c r="P17" s="66"/>
      <c r="Q17" s="67"/>
      <c r="R17" s="68"/>
      <c r="S17" s="68"/>
      <c r="T17" s="67"/>
      <c r="U17" s="67"/>
      <c r="W17" s="69"/>
      <c r="X17" s="69"/>
      <c r="Y17" s="69"/>
      <c r="Z17" s="69"/>
      <c r="AA17" s="69"/>
      <c r="AB17" s="69"/>
    </row>
    <row r="18" spans="1:28" x14ac:dyDescent="0.2">
      <c r="A18" s="28" t="s">
        <v>10</v>
      </c>
      <c r="B18" s="16">
        <f>VLOOKUP('2019'!$A18,'CCNL Economico 2022'!$A$7:$D$38,4,FALSE)+VLOOKUP('2019'!$A18,'CCNL Economico 2022'!$A$7:$J$38,10,FALSE)</f>
        <v>27259.079999999998</v>
      </c>
      <c r="C18" s="33">
        <f t="shared" si="0"/>
        <v>20713.839999999997</v>
      </c>
      <c r="D18" s="4"/>
      <c r="E18" s="4">
        <f t="shared" si="7"/>
        <v>6545.24</v>
      </c>
      <c r="F18" s="4">
        <f>VLOOKUP($A18,'CCNL Economico 2022'!$Q$7:$S$37,3,FALSE)</f>
        <v>2422.16</v>
      </c>
      <c r="G18" s="4">
        <f>VLOOKUP($A18,'CCNL Economico 2022'!$A$7:$E$38,5,FALSE)</f>
        <v>0</v>
      </c>
      <c r="H18" s="4">
        <f>VLOOKUP(A18,'Emonum Acc 2023'!$B$8:$C$43,2,FALSE)*12</f>
        <v>406.79999999999995</v>
      </c>
      <c r="I18" s="4">
        <f t="shared" si="3"/>
        <v>2271.59</v>
      </c>
      <c r="J18" s="4">
        <f t="shared" si="1"/>
        <v>32359.629999999997</v>
      </c>
      <c r="K18" s="4">
        <f t="shared" si="8"/>
        <v>9645.9500000000007</v>
      </c>
      <c r="L18" s="4">
        <f t="shared" si="4"/>
        <v>2751</v>
      </c>
      <c r="M18" s="4">
        <f t="shared" si="5"/>
        <v>44756.58</v>
      </c>
      <c r="N18" s="23">
        <f t="shared" si="6"/>
        <v>12396.95</v>
      </c>
      <c r="O18" s="20" t="s">
        <v>10</v>
      </c>
      <c r="P18" s="66"/>
      <c r="Q18" s="67"/>
      <c r="R18" s="68"/>
      <c r="S18" s="68"/>
      <c r="T18" s="67"/>
      <c r="U18" s="67"/>
      <c r="W18" s="69"/>
      <c r="X18" s="69"/>
      <c r="Y18" s="69"/>
      <c r="Z18" s="69"/>
      <c r="AA18" s="69"/>
      <c r="AB18" s="69"/>
    </row>
    <row r="19" spans="1:28" s="6" customFormat="1" x14ac:dyDescent="0.2">
      <c r="A19" s="28" t="s">
        <v>11</v>
      </c>
      <c r="B19" s="16">
        <f>VLOOKUP('2019'!$A19,'CCNL Economico 2022'!$A$7:$D$38,4,FALSE)+VLOOKUP('2019'!$A19,'CCNL Economico 2022'!$A$7:$J$38,10,FALSE)</f>
        <v>25940.93</v>
      </c>
      <c r="C19" s="33">
        <f t="shared" si="0"/>
        <v>19395.690000000002</v>
      </c>
      <c r="D19" s="4"/>
      <c r="E19" s="4">
        <f t="shared" si="7"/>
        <v>6545.24</v>
      </c>
      <c r="F19" s="4">
        <f>VLOOKUP($A19,'CCNL Economico 2022'!$Q$7:$S$37,3,FALSE)</f>
        <v>2422.16</v>
      </c>
      <c r="G19" s="4">
        <f>VLOOKUP($A19,'CCNL Economico 2022'!$A$7:$E$38,5,FALSE)</f>
        <v>0</v>
      </c>
      <c r="H19" s="4">
        <f>VLOOKUP(A19,'Emonum Acc 2023'!$B$8:$C$43,2,FALSE)*12</f>
        <v>387.12</v>
      </c>
      <c r="I19" s="4">
        <f t="shared" si="3"/>
        <v>2161.7399999999998</v>
      </c>
      <c r="J19" s="4">
        <f t="shared" si="1"/>
        <v>30911.95</v>
      </c>
      <c r="K19" s="4">
        <f t="shared" si="8"/>
        <v>9214.5</v>
      </c>
      <c r="L19" s="4">
        <f t="shared" si="4"/>
        <v>2628</v>
      </c>
      <c r="M19" s="4">
        <f t="shared" si="5"/>
        <v>42754.45</v>
      </c>
      <c r="N19" s="23">
        <f t="shared" si="6"/>
        <v>11842.5</v>
      </c>
      <c r="O19" s="20" t="s">
        <v>11</v>
      </c>
      <c r="P19" s="66"/>
      <c r="Q19" s="67"/>
      <c r="R19" s="68"/>
      <c r="S19" s="68"/>
      <c r="T19" s="67"/>
      <c r="U19" s="67"/>
      <c r="W19" s="69"/>
      <c r="X19" s="69"/>
      <c r="Y19" s="69"/>
      <c r="Z19" s="69"/>
      <c r="AA19" s="69"/>
      <c r="AB19" s="69"/>
    </row>
    <row r="20" spans="1:28" s="6" customFormat="1" x14ac:dyDescent="0.2">
      <c r="A20" s="28" t="s">
        <v>12</v>
      </c>
      <c r="B20" s="16">
        <f>VLOOKUP('2019'!$A20,'CCNL Economico 2022'!$A$7:$D$38,4,FALSE)+VLOOKUP('2019'!$A20,'CCNL Economico 2022'!$A$7:$J$38,10,FALSE)</f>
        <v>24860.68</v>
      </c>
      <c r="C20" s="33">
        <f t="shared" si="0"/>
        <v>18315.440000000002</v>
      </c>
      <c r="D20" s="4"/>
      <c r="E20" s="4">
        <f t="shared" si="7"/>
        <v>6545.24</v>
      </c>
      <c r="F20" s="4">
        <f>VLOOKUP($A20,'CCNL Economico 2022'!$Q$7:$S$37,3,FALSE)</f>
        <v>2422.16</v>
      </c>
      <c r="G20" s="4">
        <f>VLOOKUP($A20,'CCNL Economico 2022'!$A$7:$E$38,5,FALSE)</f>
        <v>84</v>
      </c>
      <c r="H20" s="4">
        <f>VLOOKUP(A20,'Emonum Acc 2023'!$B$8:$C$43,2,FALSE)*12</f>
        <v>371.04</v>
      </c>
      <c r="I20" s="4">
        <f t="shared" si="3"/>
        <v>2071.7199999999998</v>
      </c>
      <c r="J20" s="4">
        <f t="shared" si="1"/>
        <v>29809.600000000002</v>
      </c>
      <c r="K20" s="4">
        <f t="shared" si="8"/>
        <v>8881.26</v>
      </c>
      <c r="L20" s="4">
        <f t="shared" si="4"/>
        <v>2534</v>
      </c>
      <c r="M20" s="4">
        <f t="shared" si="5"/>
        <v>41224.86</v>
      </c>
      <c r="N20" s="23">
        <f t="shared" si="6"/>
        <v>11415.26</v>
      </c>
      <c r="O20" s="20" t="s">
        <v>12</v>
      </c>
      <c r="P20" s="66"/>
      <c r="Q20" s="67"/>
      <c r="R20" s="68"/>
      <c r="S20" s="68"/>
      <c r="T20" s="67"/>
      <c r="U20" s="67"/>
      <c r="W20" s="69"/>
      <c r="X20" s="69"/>
      <c r="Y20" s="69"/>
      <c r="Z20" s="69"/>
      <c r="AA20" s="69"/>
      <c r="AB20" s="69"/>
    </row>
    <row r="21" spans="1:28" s="6" customFormat="1" ht="13.5" thickBot="1" x14ac:dyDescent="0.25">
      <c r="A21" s="29" t="s">
        <v>13</v>
      </c>
      <c r="B21" s="36">
        <f>VLOOKUP('2019'!$A21,'CCNL Economico 2022'!$A$7:$D$38,4,FALSE)+VLOOKUP('2019'!$A21,'CCNL Economico 2022'!$A$7:$J$38,10,FALSE)</f>
        <v>23925.870000000003</v>
      </c>
      <c r="C21" s="35">
        <f t="shared" si="0"/>
        <v>17380.630000000005</v>
      </c>
      <c r="D21" s="5"/>
      <c r="E21" s="5">
        <f t="shared" si="7"/>
        <v>6545.24</v>
      </c>
      <c r="F21" s="5">
        <f>VLOOKUP($A21,'CCNL Economico 2022'!$Q$7:$S$37,3,FALSE)</f>
        <v>2422.16</v>
      </c>
      <c r="G21" s="5">
        <f>VLOOKUP($A21,'CCNL Economico 2022'!$A$7:$E$38,5,FALSE)</f>
        <v>108</v>
      </c>
      <c r="H21" s="5">
        <f>VLOOKUP(A21,'Emonum Acc 2023'!$B$8:$C$43,2,FALSE)*12</f>
        <v>357.12</v>
      </c>
      <c r="I21" s="5">
        <f t="shared" si="3"/>
        <v>1993.82</v>
      </c>
      <c r="J21" s="5">
        <f t="shared" si="1"/>
        <v>28806.97</v>
      </c>
      <c r="K21" s="5">
        <f t="shared" si="8"/>
        <v>8581.1</v>
      </c>
      <c r="L21" s="5">
        <f t="shared" si="4"/>
        <v>2449</v>
      </c>
      <c r="M21" s="5">
        <f t="shared" si="5"/>
        <v>39837.07</v>
      </c>
      <c r="N21" s="24">
        <f t="shared" si="6"/>
        <v>11030.1</v>
      </c>
      <c r="O21" s="21" t="s">
        <v>13</v>
      </c>
      <c r="P21" s="66"/>
      <c r="Q21" s="67"/>
      <c r="R21" s="68"/>
      <c r="S21" s="68"/>
      <c r="T21" s="67"/>
      <c r="U21" s="67"/>
      <c r="W21" s="69"/>
      <c r="X21" s="69"/>
      <c r="Y21" s="69"/>
      <c r="Z21" s="69"/>
      <c r="AA21" s="69"/>
      <c r="AB21" s="69"/>
    </row>
    <row r="22" spans="1:28" s="6" customFormat="1" x14ac:dyDescent="0.2">
      <c r="A22" s="26" t="s">
        <v>45</v>
      </c>
      <c r="B22" s="15">
        <f>VLOOKUP('2019'!$A22,'CCNL Economico 2022'!$A$7:$D$38,4,FALSE)+VLOOKUP('2019'!$A22,'CCNL Economico 2022'!$A$7:$J$38,10,FALSE)</f>
        <v>25903.34</v>
      </c>
      <c r="C22" s="34">
        <f t="shared" si="0"/>
        <v>19453.260000000002</v>
      </c>
      <c r="D22" s="3"/>
      <c r="E22" s="3">
        <f>6450.08</f>
        <v>6450.08</v>
      </c>
      <c r="F22" s="3">
        <f>VLOOKUP($A22,'CCNL Economico 2022'!$Q$7:$S$37,3,FALSE)</f>
        <v>1693.97</v>
      </c>
      <c r="G22" s="3">
        <f>VLOOKUP($A22,'CCNL Economico 2022'!$A$7:$E$38,5,FALSE)</f>
        <v>0</v>
      </c>
      <c r="H22" s="3">
        <f>VLOOKUP(A22,'Emonum Acc 2023'!$B$8:$C$43,2,FALSE)*12</f>
        <v>386.64</v>
      </c>
      <c r="I22" s="3">
        <f t="shared" si="3"/>
        <v>2158.61</v>
      </c>
      <c r="J22" s="3">
        <f t="shared" si="1"/>
        <v>30142.560000000001</v>
      </c>
      <c r="K22" s="3">
        <f t="shared" si="8"/>
        <v>8984.64</v>
      </c>
      <c r="L22" s="3">
        <f>ROUND(J22*8.5%,0)</f>
        <v>2562</v>
      </c>
      <c r="M22" s="3">
        <f>J22+K22+L22</f>
        <v>41689.199999999997</v>
      </c>
      <c r="N22" s="22">
        <f>K22+L22</f>
        <v>11546.64</v>
      </c>
      <c r="O22" s="19" t="str">
        <f>A22</f>
        <v>C8</v>
      </c>
      <c r="P22" s="66"/>
      <c r="Q22" s="67"/>
      <c r="R22" s="68"/>
      <c r="S22" s="68"/>
      <c r="T22" s="67"/>
      <c r="U22" s="67"/>
      <c r="W22" s="69"/>
      <c r="X22" s="69"/>
      <c r="Y22" s="69"/>
      <c r="Z22" s="69"/>
      <c r="AA22" s="69"/>
      <c r="AB22" s="69"/>
    </row>
    <row r="23" spans="1:28" s="6" customFormat="1" x14ac:dyDescent="0.2">
      <c r="A23" s="27" t="s">
        <v>14</v>
      </c>
      <c r="B23" s="16">
        <f>VLOOKUP('2019'!$A23,'CCNL Economico 2022'!$A$7:$D$38,4,FALSE)+VLOOKUP('2019'!$A23,'CCNL Economico 2022'!$A$7:$J$38,10,FALSE)</f>
        <v>25099.379999999997</v>
      </c>
      <c r="C23" s="33">
        <f>B23-E23</f>
        <v>18649.299999999996</v>
      </c>
      <c r="D23" s="4"/>
      <c r="E23" s="4">
        <f>6450.08</f>
        <v>6450.08</v>
      </c>
      <c r="F23" s="4">
        <f>VLOOKUP($A23,'CCNL Economico 2022'!$Q$7:$S$37,3,FALSE)</f>
        <v>1693.97</v>
      </c>
      <c r="G23" s="4">
        <f>VLOOKUP($A23,'CCNL Economico 2022'!$A$7:$E$38,5,FALSE)</f>
        <v>60</v>
      </c>
      <c r="H23" s="4">
        <f>VLOOKUP(A23,'Emonum Acc 2023'!$B$8:$C$43,2,FALSE)*12</f>
        <v>374.64</v>
      </c>
      <c r="I23" s="4">
        <f>ROUND((B23)/12,2)</f>
        <v>2091.62</v>
      </c>
      <c r="J23" s="4">
        <f t="shared" si="1"/>
        <v>29319.609999999997</v>
      </c>
      <c r="K23" s="4">
        <f t="shared" si="8"/>
        <v>8736.01</v>
      </c>
      <c r="L23" s="4">
        <f>ROUND(J23*8.5%,0)</f>
        <v>2492</v>
      </c>
      <c r="M23" s="4">
        <f>J23+K23+L23</f>
        <v>40547.619999999995</v>
      </c>
      <c r="N23" s="23">
        <f>K23+L23</f>
        <v>11228.01</v>
      </c>
      <c r="O23" s="20" t="str">
        <f>A23</f>
        <v>C7</v>
      </c>
      <c r="P23" s="66"/>
      <c r="Q23" s="67"/>
      <c r="R23" s="68"/>
      <c r="S23" s="68"/>
      <c r="T23" s="67"/>
      <c r="U23" s="67"/>
      <c r="W23" s="69"/>
      <c r="X23" s="69"/>
      <c r="Y23" s="69"/>
      <c r="Z23" s="69"/>
      <c r="AA23" s="69"/>
      <c r="AB23" s="69"/>
    </row>
    <row r="24" spans="1:28" s="6" customFormat="1" x14ac:dyDescent="0.2">
      <c r="A24" s="28" t="s">
        <v>15</v>
      </c>
      <c r="B24" s="16">
        <f>VLOOKUP('2019'!$A24,'CCNL Economico 2022'!$A$7:$D$38,4,FALSE)+VLOOKUP('2019'!$A24,'CCNL Economico 2022'!$A$7:$J$38,10,FALSE)</f>
        <v>24306.12</v>
      </c>
      <c r="C24" s="33">
        <f t="shared" si="0"/>
        <v>17856.04</v>
      </c>
      <c r="D24" s="4"/>
      <c r="E24" s="4">
        <f>6450.08</f>
        <v>6450.08</v>
      </c>
      <c r="F24" s="4">
        <f>VLOOKUP($A24,'CCNL Economico 2022'!$Q$7:$S$37,3,FALSE)</f>
        <v>1693.97</v>
      </c>
      <c r="G24" s="4">
        <f>VLOOKUP($A24,'CCNL Economico 2022'!$A$7:$E$38,5,FALSE)</f>
        <v>96</v>
      </c>
      <c r="H24" s="4">
        <f>VLOOKUP(A24,'Emonum Acc 2023'!$B$8:$C$43,2,FALSE)*12</f>
        <v>362.76</v>
      </c>
      <c r="I24" s="4">
        <f t="shared" si="3"/>
        <v>2025.51</v>
      </c>
      <c r="J24" s="4">
        <f t="shared" si="1"/>
        <v>28484.359999999997</v>
      </c>
      <c r="K24" s="4">
        <f t="shared" si="8"/>
        <v>8485.07</v>
      </c>
      <c r="L24" s="4">
        <f>ROUND(J24*8.5%,0)</f>
        <v>2421</v>
      </c>
      <c r="M24" s="4">
        <f>J24+K24+L24</f>
        <v>39390.429999999993</v>
      </c>
      <c r="N24" s="23">
        <f>K24+L24</f>
        <v>10906.07</v>
      </c>
      <c r="O24" s="20" t="str">
        <f>A24</f>
        <v>C6</v>
      </c>
      <c r="P24" s="66"/>
      <c r="Q24" s="67"/>
      <c r="R24" s="68"/>
      <c r="S24" s="68"/>
      <c r="T24" s="67"/>
      <c r="U24" s="67"/>
      <c r="W24" s="69"/>
      <c r="X24" s="69"/>
      <c r="Y24" s="69"/>
      <c r="Z24" s="69"/>
      <c r="AA24" s="69"/>
      <c r="AB24" s="69"/>
    </row>
    <row r="25" spans="1:28" s="6" customFormat="1" x14ac:dyDescent="0.2">
      <c r="A25" s="28" t="s">
        <v>16</v>
      </c>
      <c r="B25" s="16">
        <f>VLOOKUP('2019'!$A25,'CCNL Economico 2022'!$A$7:$D$38,4,FALSE)+VLOOKUP('2019'!$A25,'CCNL Economico 2022'!$A$7:$J$38,10,FALSE)</f>
        <v>23541.239999999998</v>
      </c>
      <c r="C25" s="33">
        <f t="shared" si="0"/>
        <v>17091.159999999996</v>
      </c>
      <c r="D25" s="4"/>
      <c r="E25" s="4">
        <f>6450.08</f>
        <v>6450.08</v>
      </c>
      <c r="F25" s="4">
        <f>VLOOKUP($A25,'CCNL Economico 2022'!$Q$7:$S$37,3,FALSE)</f>
        <v>1693.97</v>
      </c>
      <c r="G25" s="4">
        <f>VLOOKUP($A25,'CCNL Economico 2022'!$A$7:$E$38,5,FALSE)</f>
        <v>120</v>
      </c>
      <c r="H25" s="4">
        <f>VLOOKUP(A25,'Emonum Acc 2023'!$B$8:$C$43,2,FALSE)*12</f>
        <v>351.36</v>
      </c>
      <c r="I25" s="4">
        <f t="shared" si="3"/>
        <v>1961.77</v>
      </c>
      <c r="J25" s="4">
        <f t="shared" si="1"/>
        <v>27668.34</v>
      </c>
      <c r="K25" s="4">
        <f t="shared" si="8"/>
        <v>8240.5300000000007</v>
      </c>
      <c r="L25" s="4">
        <f t="shared" si="4"/>
        <v>2352</v>
      </c>
      <c r="M25" s="4">
        <f>J25+K25+L25</f>
        <v>38260.870000000003</v>
      </c>
      <c r="N25" s="23">
        <f t="shared" si="6"/>
        <v>10592.53</v>
      </c>
      <c r="O25" s="20" t="s">
        <v>16</v>
      </c>
      <c r="P25" s="66"/>
      <c r="Q25" s="67"/>
      <c r="R25" s="68"/>
      <c r="S25" s="68"/>
      <c r="T25" s="67"/>
      <c r="U25" s="67"/>
      <c r="W25" s="69"/>
      <c r="X25" s="69"/>
      <c r="Y25" s="69"/>
      <c r="Z25" s="69"/>
      <c r="AA25" s="69"/>
      <c r="AB25" s="69"/>
    </row>
    <row r="26" spans="1:28" s="6" customFormat="1" x14ac:dyDescent="0.2">
      <c r="A26" s="27" t="s">
        <v>17</v>
      </c>
      <c r="B26" s="16">
        <f>VLOOKUP('2019'!$A26,'CCNL Economico 2022'!$A$7:$D$38,4,FALSE)+VLOOKUP('2019'!$A26,'CCNL Economico 2022'!$A$7:$J$38,10,FALSE)</f>
        <v>22806.48</v>
      </c>
      <c r="C26" s="33">
        <f t="shared" si="0"/>
        <v>16356.4</v>
      </c>
      <c r="D26" s="4"/>
      <c r="E26" s="4">
        <f>6450.08</f>
        <v>6450.08</v>
      </c>
      <c r="F26" s="4">
        <f>VLOOKUP($A26,'CCNL Economico 2022'!$Q$7:$S$37,3,FALSE)</f>
        <v>1693.97</v>
      </c>
      <c r="G26" s="4">
        <f>VLOOKUP($A26,'CCNL Economico 2022'!$A$7:$E$38,5,FALSE)</f>
        <v>156</v>
      </c>
      <c r="H26" s="4">
        <f>VLOOKUP(A26,'Emonum Acc 2023'!$B$8:$C$43,2,FALSE)*12</f>
        <v>340.44</v>
      </c>
      <c r="I26" s="4">
        <f t="shared" si="3"/>
        <v>1900.54</v>
      </c>
      <c r="J26" s="4">
        <f t="shared" si="1"/>
        <v>26897.43</v>
      </c>
      <c r="K26" s="4">
        <f t="shared" si="8"/>
        <v>8008.75</v>
      </c>
      <c r="L26" s="4">
        <f t="shared" si="4"/>
        <v>2286</v>
      </c>
      <c r="M26" s="4">
        <f t="shared" si="5"/>
        <v>37192.18</v>
      </c>
      <c r="N26" s="23">
        <f t="shared" si="6"/>
        <v>10294.75</v>
      </c>
      <c r="O26" s="20" t="s">
        <v>17</v>
      </c>
      <c r="P26" s="66"/>
      <c r="Q26" s="67"/>
      <c r="R26" s="68"/>
      <c r="S26" s="68"/>
      <c r="T26" s="67"/>
      <c r="U26" s="67"/>
      <c r="W26" s="69"/>
      <c r="X26" s="69"/>
      <c r="Y26" s="69"/>
      <c r="Z26" s="69"/>
      <c r="AA26" s="69"/>
      <c r="AB26" s="69"/>
    </row>
    <row r="27" spans="1:28" s="6" customFormat="1" x14ac:dyDescent="0.2">
      <c r="A27" s="28" t="s">
        <v>18</v>
      </c>
      <c r="B27" s="16">
        <f>VLOOKUP('2019'!$A27,'CCNL Economico 2022'!$A$7:$D$38,4,FALSE)+VLOOKUP('2019'!$A27,'CCNL Economico 2022'!$A$7:$J$38,10,FALSE)</f>
        <v>21690.960000000003</v>
      </c>
      <c r="C27" s="33">
        <f t="shared" si="0"/>
        <v>15318.320000000003</v>
      </c>
      <c r="D27" s="4"/>
      <c r="E27" s="4">
        <f>6372.64</f>
        <v>6372.64</v>
      </c>
      <c r="F27" s="4">
        <f>VLOOKUP($A27,'CCNL Economico 2022'!$Q$7:$S$37,3,FALSE)</f>
        <v>1693.97</v>
      </c>
      <c r="G27" s="4">
        <f>VLOOKUP($A27,'CCNL Economico 2022'!$A$7:$E$38,5,FALSE)</f>
        <v>192</v>
      </c>
      <c r="H27" s="4">
        <f>VLOOKUP(A27,'Emonum Acc 2023'!$B$8:$C$43,2,FALSE)*12</f>
        <v>323.76</v>
      </c>
      <c r="I27" s="4">
        <f t="shared" si="3"/>
        <v>1807.58</v>
      </c>
      <c r="J27" s="4">
        <f t="shared" si="1"/>
        <v>25708.270000000004</v>
      </c>
      <c r="K27" s="4">
        <f t="shared" si="8"/>
        <v>7652.34</v>
      </c>
      <c r="L27" s="4">
        <f t="shared" si="4"/>
        <v>2185</v>
      </c>
      <c r="M27" s="4">
        <f t="shared" si="5"/>
        <v>35545.61</v>
      </c>
      <c r="N27" s="23">
        <f t="shared" si="6"/>
        <v>9837.34</v>
      </c>
      <c r="O27" s="20" t="s">
        <v>18</v>
      </c>
      <c r="P27" s="66"/>
      <c r="Q27" s="67"/>
      <c r="R27" s="68"/>
      <c r="S27" s="68"/>
      <c r="T27" s="67"/>
      <c r="U27" s="67"/>
      <c r="W27" s="69"/>
      <c r="X27" s="69"/>
      <c r="Y27" s="69"/>
      <c r="Z27" s="69"/>
      <c r="AA27" s="69"/>
      <c r="AB27" s="69"/>
    </row>
    <row r="28" spans="1:28" s="6" customFormat="1" x14ac:dyDescent="0.2">
      <c r="A28" s="28" t="s">
        <v>19</v>
      </c>
      <c r="B28" s="16">
        <f>VLOOKUP('2019'!$A28,'CCNL Economico 2022'!$A$7:$D$38,4,FALSE)+VLOOKUP('2019'!$A28,'CCNL Economico 2022'!$A$7:$J$38,10,FALSE)</f>
        <v>20854.559999999998</v>
      </c>
      <c r="C28" s="33">
        <f>B28-E28</f>
        <v>14481.919999999998</v>
      </c>
      <c r="D28" s="4"/>
      <c r="E28" s="4">
        <f>6372.64</f>
        <v>6372.64</v>
      </c>
      <c r="F28" s="4">
        <f>VLOOKUP($A28,'CCNL Economico 2022'!$Q$7:$S$37,3,FALSE)</f>
        <v>1693.97</v>
      </c>
      <c r="G28" s="4">
        <f>VLOOKUP($A28,'CCNL Economico 2022'!$A$7:$E$38,5,FALSE)</f>
        <v>228</v>
      </c>
      <c r="H28" s="4">
        <f>VLOOKUP(A28,'Emonum Acc 2023'!$B$8:$C$43,2,FALSE)*12</f>
        <v>311.28000000000003</v>
      </c>
      <c r="I28" s="4">
        <f t="shared" si="3"/>
        <v>1737.88</v>
      </c>
      <c r="J28" s="4">
        <f t="shared" si="1"/>
        <v>24825.69</v>
      </c>
      <c r="K28" s="4">
        <f t="shared" si="8"/>
        <v>7387.29</v>
      </c>
      <c r="L28" s="4">
        <f t="shared" si="4"/>
        <v>2110</v>
      </c>
      <c r="M28" s="4">
        <f t="shared" si="5"/>
        <v>34322.979999999996</v>
      </c>
      <c r="N28" s="23">
        <f t="shared" si="6"/>
        <v>9497.2900000000009</v>
      </c>
      <c r="O28" s="20" t="s">
        <v>19</v>
      </c>
      <c r="P28" s="66"/>
      <c r="Q28" s="67"/>
      <c r="R28" s="68"/>
      <c r="S28" s="68"/>
      <c r="T28" s="67"/>
      <c r="U28" s="67"/>
      <c r="W28" s="69"/>
      <c r="X28" s="69"/>
      <c r="Y28" s="69"/>
      <c r="Z28" s="69"/>
      <c r="AA28" s="69"/>
      <c r="AB28" s="69"/>
    </row>
    <row r="29" spans="1:28" s="6" customFormat="1" ht="13.5" thickBot="1" x14ac:dyDescent="0.25">
      <c r="A29" s="29" t="s">
        <v>20</v>
      </c>
      <c r="B29" s="36">
        <f>VLOOKUP('2019'!$A29,'CCNL Economico 2022'!$A$7:$D$38,4,FALSE)+VLOOKUP('2019'!$A29,'CCNL Economico 2022'!$A$7:$J$38,10,FALSE)</f>
        <v>20455.96</v>
      </c>
      <c r="C29" s="35">
        <f t="shared" si="0"/>
        <v>14083.32</v>
      </c>
      <c r="D29" s="5"/>
      <c r="E29" s="5">
        <f>6372.64</f>
        <v>6372.64</v>
      </c>
      <c r="F29" s="5">
        <f>VLOOKUP($A29,'CCNL Economico 2022'!$Q$7:$S$37,3,FALSE)</f>
        <v>1693.97</v>
      </c>
      <c r="G29" s="5">
        <f>VLOOKUP($A29,'CCNL Economico 2022'!$A$7:$E$38,5,FALSE)</f>
        <v>240</v>
      </c>
      <c r="H29" s="5">
        <f>VLOOKUP(A29,'Emonum Acc 2023'!$B$8:$C$43,2,FALSE)*12</f>
        <v>305.28000000000003</v>
      </c>
      <c r="I29" s="5">
        <f t="shared" si="3"/>
        <v>1704.66</v>
      </c>
      <c r="J29" s="5">
        <f t="shared" si="1"/>
        <v>24399.87</v>
      </c>
      <c r="K29" s="5">
        <f t="shared" si="8"/>
        <v>7259.71</v>
      </c>
      <c r="L29" s="5">
        <f t="shared" si="4"/>
        <v>2074</v>
      </c>
      <c r="M29" s="5">
        <f t="shared" si="5"/>
        <v>33733.58</v>
      </c>
      <c r="N29" s="24">
        <f t="shared" si="6"/>
        <v>9333.7099999999991</v>
      </c>
      <c r="O29" s="21" t="s">
        <v>20</v>
      </c>
      <c r="P29" s="66"/>
      <c r="Q29" s="67"/>
      <c r="R29" s="68"/>
      <c r="S29" s="68"/>
      <c r="T29" s="67"/>
      <c r="U29" s="67"/>
      <c r="W29" s="69"/>
      <c r="X29" s="69"/>
      <c r="Y29" s="69"/>
      <c r="Z29" s="69"/>
      <c r="AA29" s="69"/>
      <c r="AB29" s="69"/>
    </row>
    <row r="30" spans="1:28" s="6" customFormat="1" x14ac:dyDescent="0.2">
      <c r="A30" s="26" t="s">
        <v>31</v>
      </c>
      <c r="B30" s="15">
        <f>VLOOKUP('2019'!$A30,'CCNL Economico 2022'!$A$7:$D$38,4,FALSE)+VLOOKUP('2019'!$A30,'CCNL Economico 2022'!$A$7:$J$38,10,FALSE)</f>
        <v>23045.32</v>
      </c>
      <c r="C30" s="34">
        <f t="shared" si="0"/>
        <v>16712.36</v>
      </c>
      <c r="D30" s="3"/>
      <c r="E30" s="3">
        <f>6332.96</f>
        <v>6332.96</v>
      </c>
      <c r="F30" s="3">
        <f>VLOOKUP($A30,'CCNL Economico 2022'!$Q$7:$S$37,3,FALSE)</f>
        <v>1246.1599999999999</v>
      </c>
      <c r="G30" s="3">
        <f>VLOOKUP($A30,'CCNL Economico 2022'!$A$7:$E$38,5,FALSE)</f>
        <v>0</v>
      </c>
      <c r="H30" s="3">
        <f>VLOOKUP(A30,'Emonum Acc 2023'!$B$8:$C$43,2,FALSE)*12</f>
        <v>343.92</v>
      </c>
      <c r="I30" s="3">
        <f t="shared" si="3"/>
        <v>1920.44</v>
      </c>
      <c r="J30" s="3">
        <f t="shared" si="1"/>
        <v>26555.839999999997</v>
      </c>
      <c r="K30" s="3">
        <f t="shared" si="8"/>
        <v>7915.35</v>
      </c>
      <c r="L30" s="3">
        <f>ROUND(J30*8.5%,0)</f>
        <v>2257</v>
      </c>
      <c r="M30" s="3">
        <f>J30+K30+L30</f>
        <v>36728.189999999995</v>
      </c>
      <c r="N30" s="22">
        <f>K30+L30</f>
        <v>10172.35</v>
      </c>
      <c r="O30" s="19" t="str">
        <f>A30</f>
        <v>B7</v>
      </c>
      <c r="P30" s="66"/>
      <c r="Q30" s="67"/>
      <c r="R30" s="68"/>
      <c r="S30" s="68"/>
      <c r="T30" s="67"/>
      <c r="U30" s="67"/>
      <c r="W30" s="69"/>
      <c r="X30" s="69"/>
      <c r="Y30" s="69"/>
      <c r="Z30" s="69"/>
      <c r="AA30" s="69"/>
      <c r="AB30" s="69"/>
    </row>
    <row r="31" spans="1:28" s="6" customFormat="1" ht="12" customHeight="1" x14ac:dyDescent="0.2">
      <c r="A31" s="27" t="s">
        <v>21</v>
      </c>
      <c r="B31" s="16">
        <f>VLOOKUP('2019'!$A31,'CCNL Economico 2022'!$A$7:$D$38,4,FALSE)+VLOOKUP('2019'!$A31,'CCNL Economico 2022'!$A$7:$J$38,10,FALSE)</f>
        <v>22341.84</v>
      </c>
      <c r="C31" s="33">
        <f>B31-E31</f>
        <v>16008.880000000001</v>
      </c>
      <c r="D31" s="4"/>
      <c r="E31" s="4">
        <f>6332.96</f>
        <v>6332.96</v>
      </c>
      <c r="F31" s="4">
        <f>VLOOKUP($A31,'CCNL Economico 2022'!$Q$7:$S$37,3,FALSE)</f>
        <v>1246.1599999999999</v>
      </c>
      <c r="G31" s="4">
        <f>VLOOKUP($A31,'CCNL Economico 2022'!$A$7:$E$38,5,FALSE)</f>
        <v>168</v>
      </c>
      <c r="H31" s="4">
        <f>VLOOKUP(A31,'Emonum Acc 2023'!$B$8:$C$43,2,FALSE)*12</f>
        <v>333.48</v>
      </c>
      <c r="I31" s="4">
        <f>ROUND((B31)/12,2)</f>
        <v>1861.82</v>
      </c>
      <c r="J31" s="4">
        <f t="shared" si="1"/>
        <v>25951.3</v>
      </c>
      <c r="K31" s="4">
        <f t="shared" si="8"/>
        <v>7725.76</v>
      </c>
      <c r="L31" s="4">
        <f>ROUND(J31*8.5%,0)</f>
        <v>2206</v>
      </c>
      <c r="M31" s="4">
        <f>J31+K31+L31</f>
        <v>35883.06</v>
      </c>
      <c r="N31" s="23">
        <f>K31+L31</f>
        <v>9931.76</v>
      </c>
      <c r="O31" s="20" t="str">
        <f>A31</f>
        <v>B6</v>
      </c>
      <c r="P31" s="66"/>
      <c r="Q31" s="67"/>
      <c r="R31" s="68"/>
      <c r="S31" s="68"/>
      <c r="T31" s="67"/>
      <c r="U31" s="67"/>
      <c r="W31" s="69"/>
      <c r="X31" s="69"/>
      <c r="Y31" s="69"/>
      <c r="Z31" s="69"/>
      <c r="AA31" s="69"/>
      <c r="AB31" s="69"/>
    </row>
    <row r="32" spans="1:28" s="6" customFormat="1" ht="12" customHeight="1" x14ac:dyDescent="0.2">
      <c r="A32" s="27" t="s">
        <v>22</v>
      </c>
      <c r="B32" s="16">
        <f>VLOOKUP('2019'!$A32,'CCNL Economico 2022'!$A$7:$D$38,4,FALSE)+VLOOKUP('2019'!$A32,'CCNL Economico 2022'!$A$7:$J$38,10,FALSE)</f>
        <v>21510.66</v>
      </c>
      <c r="C32" s="33">
        <f t="shared" si="0"/>
        <v>15177.7</v>
      </c>
      <c r="D32" s="4"/>
      <c r="E32" s="4">
        <f>6332.96</f>
        <v>6332.96</v>
      </c>
      <c r="F32" s="4">
        <f>VLOOKUP($A32,'CCNL Economico 2022'!$Q$7:$S$37,3,FALSE)</f>
        <v>1246.1599999999999</v>
      </c>
      <c r="G32" s="4">
        <f>VLOOKUP($A32,'CCNL Economico 2022'!$A$7:$E$38,5,FALSE)</f>
        <v>204</v>
      </c>
      <c r="H32" s="4">
        <f>VLOOKUP(A32,'Emonum Acc 2023'!$B$8:$C$43,2,FALSE)*12</f>
        <v>321</v>
      </c>
      <c r="I32" s="4">
        <f t="shared" si="3"/>
        <v>1792.56</v>
      </c>
      <c r="J32" s="4">
        <f t="shared" si="1"/>
        <v>25074.38</v>
      </c>
      <c r="K32" s="4">
        <f t="shared" si="8"/>
        <v>7462.4</v>
      </c>
      <c r="L32" s="4">
        <f>ROUND(J32*8.5%,0)</f>
        <v>2131</v>
      </c>
      <c r="M32" s="4">
        <f>J32+K32+L32</f>
        <v>34667.78</v>
      </c>
      <c r="N32" s="23">
        <f>K32+L32</f>
        <v>9593.4</v>
      </c>
      <c r="O32" s="20" t="str">
        <f>A32</f>
        <v>B5</v>
      </c>
      <c r="P32" s="66"/>
      <c r="Q32" s="67"/>
      <c r="R32" s="68"/>
      <c r="S32" s="68"/>
      <c r="T32" s="67"/>
      <c r="U32" s="67"/>
      <c r="W32" s="69"/>
      <c r="X32" s="69"/>
      <c r="Y32" s="69"/>
      <c r="Z32" s="69"/>
      <c r="AA32" s="69"/>
      <c r="AB32" s="69"/>
    </row>
    <row r="33" spans="1:28" s="6" customFormat="1" x14ac:dyDescent="0.2">
      <c r="A33" s="27" t="s">
        <v>23</v>
      </c>
      <c r="B33" s="16">
        <f>VLOOKUP('2019'!$A33,'CCNL Economico 2022'!$A$7:$D$38,4,FALSE)+VLOOKUP('2019'!$A33,'CCNL Economico 2022'!$A$7:$J$38,10,FALSE)</f>
        <v>20714.320000000003</v>
      </c>
      <c r="C33" s="33">
        <f t="shared" si="0"/>
        <v>14381.360000000004</v>
      </c>
      <c r="D33" s="4"/>
      <c r="E33" s="4">
        <f>6332.96</f>
        <v>6332.96</v>
      </c>
      <c r="F33" s="4">
        <f>VLOOKUP($A33,'CCNL Economico 2022'!$Q$7:$S$37,3,FALSE)</f>
        <v>1246.1599999999999</v>
      </c>
      <c r="G33" s="4">
        <f>VLOOKUP($A33,'CCNL Economico 2022'!$A$7:$E$38,5,FALSE)</f>
        <v>228</v>
      </c>
      <c r="H33" s="4">
        <f>VLOOKUP(A33,'Emonum Acc 2023'!$B$8:$C$43,2,FALSE)*12</f>
        <v>309.12</v>
      </c>
      <c r="I33" s="4">
        <f t="shared" si="3"/>
        <v>1726.19</v>
      </c>
      <c r="J33" s="4">
        <f t="shared" si="1"/>
        <v>24223.79</v>
      </c>
      <c r="K33" s="4">
        <f t="shared" si="8"/>
        <v>7207.56</v>
      </c>
      <c r="L33" s="4">
        <f t="shared" si="4"/>
        <v>2059</v>
      </c>
      <c r="M33" s="4">
        <f t="shared" si="5"/>
        <v>33490.350000000006</v>
      </c>
      <c r="N33" s="23">
        <f t="shared" si="6"/>
        <v>9266.5600000000013</v>
      </c>
      <c r="O33" s="20" t="s">
        <v>23</v>
      </c>
      <c r="P33" s="66"/>
      <c r="Q33" s="67"/>
      <c r="R33" s="68"/>
      <c r="S33" s="68"/>
      <c r="T33" s="67"/>
      <c r="U33" s="67"/>
      <c r="W33" s="69"/>
      <c r="X33" s="69"/>
      <c r="Y33" s="69"/>
      <c r="Z33" s="69"/>
      <c r="AA33" s="69"/>
      <c r="AB33" s="69"/>
    </row>
    <row r="34" spans="1:28" s="6" customFormat="1" x14ac:dyDescent="0.2">
      <c r="A34" s="30" t="s">
        <v>24</v>
      </c>
      <c r="B34" s="16">
        <f>VLOOKUP('2019'!$A34,'CCNL Economico 2022'!$A$7:$D$38,4,FALSE)+VLOOKUP('2019'!$A34,'CCNL Economico 2022'!$A$7:$J$38,10,FALSE)</f>
        <v>19832.47</v>
      </c>
      <c r="C34" s="33">
        <f t="shared" si="0"/>
        <v>13499.510000000002</v>
      </c>
      <c r="D34" s="4"/>
      <c r="E34" s="4">
        <f>6332.96</f>
        <v>6332.96</v>
      </c>
      <c r="F34" s="4">
        <f>VLOOKUP($A34,'CCNL Economico 2022'!$Q$7:$S$37,3,FALSE)</f>
        <v>1246.1599999999999</v>
      </c>
      <c r="G34" s="4">
        <f>VLOOKUP($A34,'CCNL Economico 2022'!$A$7:$E$38,5,FALSE)</f>
        <v>264</v>
      </c>
      <c r="H34" s="4">
        <f>VLOOKUP(A34,'Emonum Acc 2023'!$B$8:$C$43,2,FALSE)*12</f>
        <v>296.04000000000002</v>
      </c>
      <c r="I34" s="4">
        <f t="shared" si="3"/>
        <v>1652.71</v>
      </c>
      <c r="J34" s="4">
        <f t="shared" si="1"/>
        <v>23291.38</v>
      </c>
      <c r="K34" s="4">
        <f t="shared" si="8"/>
        <v>6927.65</v>
      </c>
      <c r="L34" s="4">
        <f t="shared" si="4"/>
        <v>1980</v>
      </c>
      <c r="M34" s="4">
        <f t="shared" si="5"/>
        <v>32199.03</v>
      </c>
      <c r="N34" s="23">
        <f t="shared" si="6"/>
        <v>8907.65</v>
      </c>
      <c r="O34" s="20" t="s">
        <v>24</v>
      </c>
      <c r="P34" s="66"/>
      <c r="Q34" s="67"/>
      <c r="R34" s="68"/>
      <c r="S34" s="68"/>
      <c r="T34" s="67"/>
      <c r="U34" s="67"/>
      <c r="W34" s="69"/>
      <c r="X34" s="69"/>
      <c r="Y34" s="69"/>
      <c r="Z34" s="69"/>
      <c r="AA34" s="69"/>
      <c r="AB34" s="69"/>
    </row>
    <row r="35" spans="1:28" s="6" customFormat="1" x14ac:dyDescent="0.2">
      <c r="A35" s="27" t="s">
        <v>25</v>
      </c>
      <c r="B35" s="16">
        <f>VLOOKUP('2019'!$A35,'CCNL Economico 2022'!$A$7:$D$38,4,FALSE)+VLOOKUP('2019'!$A35,'CCNL Economico 2022'!$A$7:$J$38,10,FALSE)</f>
        <v>18991.39</v>
      </c>
      <c r="C35" s="33">
        <f t="shared" si="0"/>
        <v>12700.25</v>
      </c>
      <c r="D35" s="4"/>
      <c r="E35" s="4">
        <f>6291.14</f>
        <v>6291.14</v>
      </c>
      <c r="F35" s="4">
        <f>VLOOKUP($A35,'CCNL Economico 2022'!$Q$7:$S$37,3,FALSE)</f>
        <v>1246.1599999999999</v>
      </c>
      <c r="G35" s="4">
        <f>VLOOKUP($A35,'CCNL Economico 2022'!$A$7:$E$38,5,FALSE)</f>
        <v>300</v>
      </c>
      <c r="H35" s="4">
        <f>VLOOKUP(A35,'Emonum Acc 2023'!$B$8:$C$43,2,FALSE)*12</f>
        <v>283.44</v>
      </c>
      <c r="I35" s="4">
        <f t="shared" si="3"/>
        <v>1582.62</v>
      </c>
      <c r="J35" s="4">
        <f t="shared" si="1"/>
        <v>22403.609999999997</v>
      </c>
      <c r="K35" s="4">
        <f t="shared" si="8"/>
        <v>6661.06</v>
      </c>
      <c r="L35" s="4">
        <f t="shared" si="4"/>
        <v>1904</v>
      </c>
      <c r="M35" s="4">
        <f t="shared" si="5"/>
        <v>30968.67</v>
      </c>
      <c r="N35" s="23">
        <f t="shared" si="6"/>
        <v>8565.0600000000013</v>
      </c>
      <c r="O35" s="20" t="s">
        <v>25</v>
      </c>
      <c r="P35" s="66"/>
      <c r="Q35" s="67"/>
      <c r="R35" s="68"/>
      <c r="S35" s="68"/>
      <c r="T35" s="67"/>
      <c r="U35" s="67"/>
      <c r="W35" s="69"/>
      <c r="X35" s="69"/>
      <c r="Y35" s="69"/>
      <c r="Z35" s="69"/>
      <c r="AA35" s="69"/>
      <c r="AB35" s="69"/>
    </row>
    <row r="36" spans="1:28" s="6" customFormat="1" ht="13.5" thickBot="1" x14ac:dyDescent="0.25">
      <c r="A36" s="31" t="s">
        <v>26</v>
      </c>
      <c r="B36" s="17">
        <f>VLOOKUP('2019'!$A36,'CCNL Economico 2022'!$A$7:$D$38,4,FALSE)+VLOOKUP('2019'!$A36,'CCNL Economico 2022'!$A$7:$J$38,10,FALSE)</f>
        <v>17866.219999999998</v>
      </c>
      <c r="C36" s="35">
        <f t="shared" si="0"/>
        <v>11629.699999999997</v>
      </c>
      <c r="D36" s="5"/>
      <c r="E36" s="5">
        <f>6236.52</f>
        <v>6236.52</v>
      </c>
      <c r="F36" s="5">
        <f>VLOOKUP($A36,'CCNL Economico 2022'!$Q$7:$S$37,3,FALSE)</f>
        <v>1246.1599999999999</v>
      </c>
      <c r="G36" s="5">
        <f>VLOOKUP($A36,'CCNL Economico 2022'!$A$7:$E$38,5,FALSE)</f>
        <v>336</v>
      </c>
      <c r="H36" s="5">
        <f>VLOOKUP(A36,'Emonum Acc 2023'!$B$8:$C$43,2,FALSE)*12</f>
        <v>266.64</v>
      </c>
      <c r="I36" s="5">
        <f t="shared" si="3"/>
        <v>1488.85</v>
      </c>
      <c r="J36" s="5">
        <f t="shared" si="1"/>
        <v>21203.869999999995</v>
      </c>
      <c r="K36" s="5">
        <f t="shared" si="8"/>
        <v>6301.49</v>
      </c>
      <c r="L36" s="5">
        <f t="shared" si="4"/>
        <v>1802</v>
      </c>
      <c r="M36" s="5">
        <f t="shared" si="5"/>
        <v>29307.359999999993</v>
      </c>
      <c r="N36" s="24">
        <f t="shared" si="6"/>
        <v>8103.49</v>
      </c>
      <c r="O36" s="21" t="s">
        <v>26</v>
      </c>
      <c r="P36" s="66"/>
      <c r="Q36" s="67"/>
      <c r="R36" s="68"/>
      <c r="S36" s="68"/>
      <c r="T36" s="67"/>
      <c r="U36" s="67"/>
      <c r="W36" s="69"/>
      <c r="X36" s="69"/>
      <c r="Y36" s="69"/>
      <c r="Z36" s="69"/>
      <c r="AA36" s="69"/>
      <c r="AB36" s="69"/>
    </row>
    <row r="37" spans="1:28" x14ac:dyDescent="0.2">
      <c r="W37"/>
      <c r="X37"/>
      <c r="Y37"/>
      <c r="Z37"/>
      <c r="AA37"/>
      <c r="AB37"/>
    </row>
    <row r="38" spans="1:28" x14ac:dyDescent="0.2">
      <c r="W38"/>
      <c r="X38"/>
      <c r="Y38"/>
      <c r="Z38"/>
      <c r="AA38"/>
      <c r="AB38"/>
    </row>
    <row r="39" spans="1:28" s="6" customFormat="1" x14ac:dyDescent="0.2">
      <c r="G39" s="18"/>
      <c r="H39" s="18"/>
      <c r="W39"/>
      <c r="X39"/>
      <c r="Y39"/>
      <c r="Z39"/>
      <c r="AA39"/>
      <c r="AB39"/>
    </row>
    <row r="40" spans="1:28" x14ac:dyDescent="0.2">
      <c r="W40"/>
      <c r="X40"/>
      <c r="Y40"/>
      <c r="Z40"/>
      <c r="AA40"/>
      <c r="AB40"/>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0B19E-33E8-47F2-B2F1-E241FA1AAAE3}">
  <dimension ref="A1:P39"/>
  <sheetViews>
    <sheetView zoomScaleNormal="100" workbookViewId="0">
      <selection activeCell="A2" sqref="A2"/>
    </sheetView>
  </sheetViews>
  <sheetFormatPr defaultRowHeight="12.75" x14ac:dyDescent="0.2"/>
  <cols>
    <col min="1" max="1" width="6.140625" style="6" customWidth="1"/>
    <col min="2" max="2" width="11.42578125" style="6" customWidth="1"/>
    <col min="3" max="3" width="10.28515625" style="6" customWidth="1"/>
    <col min="4" max="4" width="11.5703125" style="6" customWidth="1"/>
    <col min="5" max="5" width="9.140625" style="6" customWidth="1"/>
    <col min="6" max="6" width="9.42578125" style="6" bestFit="1" customWidth="1"/>
    <col min="7" max="7" width="12.28515625" style="6" customWidth="1"/>
    <col min="8" max="8" width="9.7109375" style="6" bestFit="1" customWidth="1"/>
    <col min="9" max="9" width="10.85546875" style="6" customWidth="1"/>
    <col min="10" max="10" width="10.7109375" style="6" customWidth="1"/>
    <col min="11" max="11" width="12" style="6" customWidth="1"/>
    <col min="12" max="13" width="10.7109375" style="6" customWidth="1"/>
    <col min="14" max="14" width="6.28515625" style="6" customWidth="1"/>
    <col min="15" max="15" width="9.140625" style="6"/>
    <col min="16" max="16384" width="9.140625" style="9"/>
  </cols>
  <sheetData>
    <row r="1" spans="1:16" ht="15.75" x14ac:dyDescent="0.2">
      <c r="B1" s="8"/>
    </row>
    <row r="2" spans="1:16" ht="18.75" x14ac:dyDescent="0.2">
      <c r="A2" s="2" t="s">
        <v>214</v>
      </c>
    </row>
    <row r="3" spans="1:16" x14ac:dyDescent="0.2">
      <c r="A3" s="10" t="s">
        <v>159</v>
      </c>
      <c r="B3" s="10"/>
      <c r="C3" s="10"/>
      <c r="D3" s="10"/>
    </row>
    <row r="4" spans="1:16" ht="13.5" thickBot="1" x14ac:dyDescent="0.25">
      <c r="A4" s="11"/>
    </row>
    <row r="5" spans="1:16" s="14" customFormat="1" ht="64.5" thickBot="1" x14ac:dyDescent="0.25">
      <c r="A5" s="12" t="s">
        <v>27</v>
      </c>
      <c r="B5" s="32" t="s">
        <v>46</v>
      </c>
      <c r="C5" s="7" t="s">
        <v>33</v>
      </c>
      <c r="D5" s="7" t="s">
        <v>36</v>
      </c>
      <c r="E5" s="7" t="s">
        <v>35</v>
      </c>
      <c r="F5" s="7" t="s">
        <v>42</v>
      </c>
      <c r="G5" s="7" t="s">
        <v>103</v>
      </c>
      <c r="H5" s="7" t="s">
        <v>34</v>
      </c>
      <c r="I5" s="7" t="s">
        <v>32</v>
      </c>
      <c r="J5" s="7" t="s">
        <v>37</v>
      </c>
      <c r="K5" s="7" t="s">
        <v>38</v>
      </c>
      <c r="L5" s="7" t="s">
        <v>39</v>
      </c>
      <c r="M5" s="13" t="s">
        <v>40</v>
      </c>
      <c r="N5" s="12" t="s">
        <v>27</v>
      </c>
      <c r="O5" s="25"/>
    </row>
    <row r="6" spans="1:16" x14ac:dyDescent="0.2">
      <c r="A6" s="26" t="s">
        <v>43</v>
      </c>
      <c r="B6" s="15">
        <f>VLOOKUP('2019'!$A6,'CCNL Economico 2022'!$A$7:$G$38,7,FALSE)+VLOOKUP('2019'!$A6,'CCNL Economico 2022'!$A$7:$K$38,11,FALSE)</f>
        <v>38097.919999999998</v>
      </c>
      <c r="C6" s="34">
        <f t="shared" ref="C6:C36" si="0">B6-E6</f>
        <v>31279.69</v>
      </c>
      <c r="D6" s="3">
        <v>3099</v>
      </c>
      <c r="E6" s="3">
        <f>6818.23</f>
        <v>6818.23</v>
      </c>
      <c r="F6" s="3">
        <f>VLOOKUP($A6,'CCNL Economico 2022'!$Q$7:$S$37,3,FALSE)</f>
        <v>3821.77</v>
      </c>
      <c r="G6" s="3">
        <f>VLOOKUP(A6,'Emonum Acc 2023'!$B$8:$D$43,3,FALSE)*12</f>
        <v>568.68000000000006</v>
      </c>
      <c r="H6" s="3">
        <f>ROUND((B6)/12,2)</f>
        <v>3174.83</v>
      </c>
      <c r="I6" s="3">
        <f>B6+D6+G6+H6+F6</f>
        <v>48762.2</v>
      </c>
      <c r="J6" s="3">
        <f>ROUND((C6)*34.24%+D6*24.2%,2)+ROUND((F6*29.88%+H6*29.88%+E6*29.88%),2)+ROUND(G6*24.2%,2)</f>
        <v>15725.610000000002</v>
      </c>
      <c r="K6" s="3">
        <f>ROUND(I6*8.5%,0)</f>
        <v>4145</v>
      </c>
      <c r="L6" s="3">
        <f>I6+J6+K6</f>
        <v>68632.81</v>
      </c>
      <c r="M6" s="22">
        <f>J6+K6</f>
        <v>19870.61</v>
      </c>
      <c r="N6" s="15" t="str">
        <f>A6</f>
        <v>EP8</v>
      </c>
      <c r="P6" s="6"/>
    </row>
    <row r="7" spans="1:16" x14ac:dyDescent="0.2">
      <c r="A7" s="27" t="s">
        <v>0</v>
      </c>
      <c r="B7" s="16">
        <f>VLOOKUP('2019'!$A7,'CCNL Economico 2022'!$A$7:$G$38,7,FALSE)+VLOOKUP('2019'!$A7,'CCNL Economico 2022'!$A$7:$K$38,11,FALSE)</f>
        <v>36992.400000000001</v>
      </c>
      <c r="C7" s="33">
        <f>B7-E7</f>
        <v>30174.170000000002</v>
      </c>
      <c r="D7" s="4">
        <v>3099</v>
      </c>
      <c r="E7" s="4">
        <f>6818.23</f>
        <v>6818.23</v>
      </c>
      <c r="F7" s="4">
        <f>VLOOKUP($A7,'CCNL Economico 2022'!$Q$7:$S$37,3,FALSE)</f>
        <v>3821.77</v>
      </c>
      <c r="G7" s="4">
        <f>VLOOKUP(A7,'Emonum Acc 2023'!$B$8:$D$43,3,FALSE)*12</f>
        <v>552.12</v>
      </c>
      <c r="H7" s="4">
        <f>ROUND((B7)/12,2)</f>
        <v>3082.7</v>
      </c>
      <c r="I7" s="4">
        <f>B7+D7+G7+H7+F7</f>
        <v>47547.99</v>
      </c>
      <c r="J7" s="4">
        <f t="shared" ref="J7:J13" si="1">ROUND((C7)*34.24%+D7*24.2%,2)+ROUND((F7*29.88%+H7*29.88%+E7*29.88%),2)+ROUND(G7*24.2%,2)</f>
        <v>15315.54</v>
      </c>
      <c r="K7" s="4">
        <f>ROUND(I7*8.5%,0)</f>
        <v>4042</v>
      </c>
      <c r="L7" s="4">
        <f>I7+J7+K7</f>
        <v>66905.53</v>
      </c>
      <c r="M7" s="23">
        <f>J7+K7</f>
        <v>19357.54</v>
      </c>
      <c r="N7" s="16" t="str">
        <f>A7</f>
        <v>EP7</v>
      </c>
      <c r="P7" s="6"/>
    </row>
    <row r="8" spans="1:16" x14ac:dyDescent="0.2">
      <c r="A8" s="28" t="s">
        <v>1</v>
      </c>
      <c r="B8" s="16">
        <f>VLOOKUP('2019'!$A8,'CCNL Economico 2022'!$A$7:$G$38,7,FALSE)+VLOOKUP('2019'!$A8,'CCNL Economico 2022'!$A$7:$K$38,11,FALSE)</f>
        <v>35575.949999999997</v>
      </c>
      <c r="C8" s="33">
        <f t="shared" si="0"/>
        <v>28757.719999999998</v>
      </c>
      <c r="D8" s="4">
        <v>3099</v>
      </c>
      <c r="E8" s="4">
        <f>6818.23</f>
        <v>6818.23</v>
      </c>
      <c r="F8" s="4">
        <f>VLOOKUP($A8,'CCNL Economico 2022'!$Q$7:$S$37,3,FALSE)</f>
        <v>3821.77</v>
      </c>
      <c r="G8" s="4">
        <f>VLOOKUP(A8,'Emonum Acc 2023'!$B$8:$D$43,3,FALSE)*12</f>
        <v>531</v>
      </c>
      <c r="H8" s="4">
        <f t="shared" ref="H8:H36" si="2">ROUND((B8)/12,2)</f>
        <v>2964.66</v>
      </c>
      <c r="I8" s="4">
        <f t="shared" ref="I8:I36" si="3">B8+D8+G8+H8+F8</f>
        <v>45992.38</v>
      </c>
      <c r="J8" s="4">
        <f t="shared" si="1"/>
        <v>14790.17</v>
      </c>
      <c r="K8" s="4">
        <f>ROUND(I8*8.5%,0)</f>
        <v>3909</v>
      </c>
      <c r="L8" s="4">
        <f>I8+J8+K8</f>
        <v>64691.549999999996</v>
      </c>
      <c r="M8" s="23">
        <f>J8+K8</f>
        <v>18699.169999999998</v>
      </c>
      <c r="N8" s="16" t="str">
        <f>A8</f>
        <v>EP6</v>
      </c>
      <c r="P8" s="6"/>
    </row>
    <row r="9" spans="1:16" x14ac:dyDescent="0.2">
      <c r="A9" s="28" t="s">
        <v>2</v>
      </c>
      <c r="B9" s="16">
        <f>VLOOKUP('2019'!$A9,'CCNL Economico 2022'!$A$7:$G$38,7,FALSE)+VLOOKUP('2019'!$A9,'CCNL Economico 2022'!$A$7:$K$38,11,FALSE)</f>
        <v>34219.33</v>
      </c>
      <c r="C9" s="33">
        <f t="shared" si="0"/>
        <v>27401.100000000002</v>
      </c>
      <c r="D9" s="4">
        <v>3099</v>
      </c>
      <c r="E9" s="4">
        <f>6818.23</f>
        <v>6818.23</v>
      </c>
      <c r="F9" s="4">
        <f>VLOOKUP($A9,'CCNL Economico 2022'!$Q$7:$S$37,3,FALSE)</f>
        <v>3821.77</v>
      </c>
      <c r="G9" s="4">
        <f>VLOOKUP(A9,'Emonum Acc 2023'!$B$8:$D$43,3,FALSE)*12</f>
        <v>510.72</v>
      </c>
      <c r="H9" s="4">
        <f t="shared" si="2"/>
        <v>2851.61</v>
      </c>
      <c r="I9" s="4">
        <f t="shared" si="3"/>
        <v>44502.43</v>
      </c>
      <c r="J9" s="4">
        <f t="shared" si="1"/>
        <v>14286.970000000001</v>
      </c>
      <c r="K9" s="4">
        <f t="shared" ref="K9:K36" si="4">ROUND(I9*8.5%,0)</f>
        <v>3783</v>
      </c>
      <c r="L9" s="4">
        <f t="shared" ref="L9:L36" si="5">I9+J9+K9</f>
        <v>62572.4</v>
      </c>
      <c r="M9" s="23">
        <f t="shared" ref="M9:M36" si="6">J9+K9</f>
        <v>18069.97</v>
      </c>
      <c r="N9" s="16" t="s">
        <v>2</v>
      </c>
      <c r="P9" s="6"/>
    </row>
    <row r="10" spans="1:16" x14ac:dyDescent="0.2">
      <c r="A10" s="27" t="s">
        <v>3</v>
      </c>
      <c r="B10" s="16">
        <f>VLOOKUP('2019'!$A10,'CCNL Economico 2022'!$A$7:$G$38,7,FALSE)+VLOOKUP('2019'!$A10,'CCNL Economico 2022'!$A$7:$K$38,11,FALSE)</f>
        <v>32755.629999999997</v>
      </c>
      <c r="C10" s="33">
        <f t="shared" si="0"/>
        <v>25937.399999999998</v>
      </c>
      <c r="D10" s="4">
        <v>3099</v>
      </c>
      <c r="E10" s="4">
        <f>6818.23</f>
        <v>6818.23</v>
      </c>
      <c r="F10" s="4">
        <f>VLOOKUP($A10,'CCNL Economico 2022'!$Q$7:$S$37,3,FALSE)</f>
        <v>3821.77</v>
      </c>
      <c r="G10" s="4">
        <f>VLOOKUP(A10,'Emonum Acc 2023'!$B$8:$D$43,3,FALSE)*12</f>
        <v>488.88</v>
      </c>
      <c r="H10" s="4">
        <f t="shared" si="2"/>
        <v>2729.64</v>
      </c>
      <c r="I10" s="4">
        <f t="shared" si="3"/>
        <v>42894.919999999991</v>
      </c>
      <c r="J10" s="4">
        <f t="shared" si="1"/>
        <v>13744.08</v>
      </c>
      <c r="K10" s="4">
        <f t="shared" si="4"/>
        <v>3646</v>
      </c>
      <c r="L10" s="4">
        <f t="shared" si="5"/>
        <v>60284.999999999993</v>
      </c>
      <c r="M10" s="23">
        <f t="shared" si="6"/>
        <v>17390.080000000002</v>
      </c>
      <c r="N10" s="16" t="s">
        <v>3</v>
      </c>
      <c r="P10" s="6"/>
    </row>
    <row r="11" spans="1:16" x14ac:dyDescent="0.2">
      <c r="A11" s="28" t="s">
        <v>4</v>
      </c>
      <c r="B11" s="16">
        <f>VLOOKUP('2019'!$A11,'CCNL Economico 2022'!$A$7:$G$38,7,FALSE)+VLOOKUP('2019'!$A11,'CCNL Economico 2022'!$A$7:$K$38,11,FALSE)</f>
        <v>30359.86</v>
      </c>
      <c r="C11" s="33">
        <f t="shared" si="0"/>
        <v>23677.599999999999</v>
      </c>
      <c r="D11" s="4">
        <v>3099</v>
      </c>
      <c r="E11" s="4">
        <f>6682.26</f>
        <v>6682.26</v>
      </c>
      <c r="F11" s="4">
        <f>VLOOKUP($A11,'CCNL Economico 2022'!$Q$7:$S$37,3,FALSE)</f>
        <v>2909.4</v>
      </c>
      <c r="G11" s="4">
        <f>VLOOKUP(A11,'Emonum Acc 2023'!$B$8:$D$43,3,FALSE)*12</f>
        <v>453.12</v>
      </c>
      <c r="H11" s="4">
        <f t="shared" si="2"/>
        <v>2529.9899999999998</v>
      </c>
      <c r="I11" s="4">
        <f t="shared" si="3"/>
        <v>39351.370000000003</v>
      </c>
      <c r="J11" s="4">
        <f t="shared" si="1"/>
        <v>12588.779999999999</v>
      </c>
      <c r="K11" s="4">
        <f t="shared" si="4"/>
        <v>3345</v>
      </c>
      <c r="L11" s="4">
        <f t="shared" si="5"/>
        <v>55285.15</v>
      </c>
      <c r="M11" s="23">
        <f t="shared" si="6"/>
        <v>15933.779999999999</v>
      </c>
      <c r="N11" s="16" t="s">
        <v>4</v>
      </c>
      <c r="P11" s="6"/>
    </row>
    <row r="12" spans="1:16" x14ac:dyDescent="0.2">
      <c r="A12" s="28" t="s">
        <v>5</v>
      </c>
      <c r="B12" s="16">
        <f>VLOOKUP('2019'!$A12,'CCNL Economico 2022'!$A$7:$G$38,7,FALSE)+VLOOKUP('2019'!$A12,'CCNL Economico 2022'!$A$7:$K$38,11,FALSE)</f>
        <v>28736.359999999997</v>
      </c>
      <c r="C12" s="33">
        <f t="shared" si="0"/>
        <v>22054.1</v>
      </c>
      <c r="D12" s="4">
        <v>3099</v>
      </c>
      <c r="E12" s="4">
        <f>6682.26</f>
        <v>6682.26</v>
      </c>
      <c r="F12" s="4">
        <f>VLOOKUP($A12,'CCNL Economico 2022'!$Q$7:$S$37,3,FALSE)</f>
        <v>2909.4</v>
      </c>
      <c r="G12" s="4">
        <f>VLOOKUP(A12,'Emonum Acc 2023'!$B$8:$D$43,3,FALSE)*12</f>
        <v>428.88</v>
      </c>
      <c r="H12" s="4">
        <f t="shared" si="2"/>
        <v>2394.6999999999998</v>
      </c>
      <c r="I12" s="4">
        <f t="shared" si="3"/>
        <v>37568.339999999997</v>
      </c>
      <c r="J12" s="4">
        <f t="shared" si="1"/>
        <v>11986.590000000002</v>
      </c>
      <c r="K12" s="4">
        <f t="shared" si="4"/>
        <v>3193</v>
      </c>
      <c r="L12" s="4">
        <f t="shared" si="5"/>
        <v>52747.93</v>
      </c>
      <c r="M12" s="23">
        <f t="shared" si="6"/>
        <v>15179.590000000002</v>
      </c>
      <c r="N12" s="16" t="s">
        <v>5</v>
      </c>
      <c r="P12" s="6"/>
    </row>
    <row r="13" spans="1:16" ht="13.5" thickBot="1" x14ac:dyDescent="0.25">
      <c r="A13" s="29" t="s">
        <v>6</v>
      </c>
      <c r="B13" s="36">
        <f>VLOOKUP('2019'!$A13,'CCNL Economico 2022'!$A$7:$G$38,7,FALSE)+VLOOKUP('2019'!$A13,'CCNL Economico 2022'!$A$7:$K$38,11,FALSE)</f>
        <v>27024.45</v>
      </c>
      <c r="C13" s="35">
        <f t="shared" si="0"/>
        <v>20342.190000000002</v>
      </c>
      <c r="D13" s="5">
        <v>3099</v>
      </c>
      <c r="E13" s="5">
        <f>6682.26</f>
        <v>6682.26</v>
      </c>
      <c r="F13" s="5">
        <f>VLOOKUP($A13,'CCNL Economico 2022'!$Q$7:$S$37,3,FALSE)</f>
        <v>2909.4</v>
      </c>
      <c r="G13" s="5">
        <f>VLOOKUP(A13,'Emonum Acc 2023'!$B$8:$D$43,3,FALSE)*12</f>
        <v>403.32</v>
      </c>
      <c r="H13" s="5">
        <f t="shared" si="2"/>
        <v>2252.04</v>
      </c>
      <c r="I13" s="5">
        <f t="shared" si="3"/>
        <v>35688.21</v>
      </c>
      <c r="J13" s="5">
        <f t="shared" si="1"/>
        <v>11351.62</v>
      </c>
      <c r="K13" s="5">
        <f t="shared" si="4"/>
        <v>3033</v>
      </c>
      <c r="L13" s="5">
        <f t="shared" si="5"/>
        <v>50072.83</v>
      </c>
      <c r="M13" s="24">
        <f t="shared" si="6"/>
        <v>14384.62</v>
      </c>
      <c r="N13" s="17" t="s">
        <v>6</v>
      </c>
      <c r="P13" s="6"/>
    </row>
    <row r="14" spans="1:16" x14ac:dyDescent="0.2">
      <c r="A14" s="26" t="s">
        <v>44</v>
      </c>
      <c r="B14" s="15">
        <f>VLOOKUP('2019'!$A14,'CCNL Economico 2022'!$A$7:$G$38,7,FALSE)+VLOOKUP('2019'!$A14,'CCNL Economico 2022'!$A$7:$K$38,11,FALSE)</f>
        <v>31217.34</v>
      </c>
      <c r="C14" s="34">
        <f t="shared" si="0"/>
        <v>24672.1</v>
      </c>
      <c r="D14" s="3"/>
      <c r="E14" s="3">
        <f>6545.24</f>
        <v>6545.24</v>
      </c>
      <c r="F14" s="3">
        <f>VLOOKUP($A14,'CCNL Economico 2022'!$Q$7:$S$37,3,FALSE)</f>
        <v>2422.16</v>
      </c>
      <c r="G14" s="3">
        <f>VLOOKUP(A14,'Emonum Acc 2023'!$B$8:$D$43,3,FALSE)*12</f>
        <v>465.96</v>
      </c>
      <c r="H14" s="3">
        <f t="shared" si="2"/>
        <v>2601.4499999999998</v>
      </c>
      <c r="I14" s="3">
        <f>B14+D14+G14+H14+F14</f>
        <v>36706.910000000003</v>
      </c>
      <c r="J14" s="3">
        <f t="shared" ref="J14:J20" si="7">ROUND((I14-G14)*29.88%+G14*24.2%,2)</f>
        <v>10941.56</v>
      </c>
      <c r="K14" s="3">
        <f>ROUND(I14*8.5%,0)</f>
        <v>3120</v>
      </c>
      <c r="L14" s="3">
        <f>I14+J14+K14</f>
        <v>50768.47</v>
      </c>
      <c r="M14" s="22">
        <f>J14+K14</f>
        <v>14061.56</v>
      </c>
      <c r="N14" s="19" t="str">
        <f>A14</f>
        <v>D8</v>
      </c>
      <c r="P14" s="6"/>
    </row>
    <row r="15" spans="1:16" x14ac:dyDescent="0.2">
      <c r="A15" s="27" t="s">
        <v>7</v>
      </c>
      <c r="B15" s="16">
        <f>VLOOKUP('2019'!$A15,'CCNL Economico 2022'!$A$7:$G$38,7,FALSE)+VLOOKUP('2019'!$A15,'CCNL Economico 2022'!$A$7:$K$38,11,FALSE)</f>
        <v>30312.9</v>
      </c>
      <c r="C15" s="33">
        <f>B15-E15</f>
        <v>23767.660000000003</v>
      </c>
      <c r="D15" s="4"/>
      <c r="E15" s="4">
        <f t="shared" ref="E15:E21" si="8">6545.24</f>
        <v>6545.24</v>
      </c>
      <c r="F15" s="4">
        <f>VLOOKUP($A15,'CCNL Economico 2022'!$Q$7:$S$37,3,FALSE)</f>
        <v>2422.16</v>
      </c>
      <c r="G15" s="4">
        <f>VLOOKUP(A15,'Emonum Acc 2023'!$B$8:$D$43,3,FALSE)*12</f>
        <v>452.40000000000003</v>
      </c>
      <c r="H15" s="4">
        <f>ROUND((B15)/12,2)</f>
        <v>2526.08</v>
      </c>
      <c r="I15" s="4">
        <f>B15+D15+G15+H15+F15</f>
        <v>35713.540000000008</v>
      </c>
      <c r="J15" s="4">
        <f t="shared" si="7"/>
        <v>10645.51</v>
      </c>
      <c r="K15" s="4">
        <f>ROUND(I15*8.5%,0)</f>
        <v>3036</v>
      </c>
      <c r="L15" s="4">
        <f>I15+J15+K15</f>
        <v>49395.05000000001</v>
      </c>
      <c r="M15" s="23">
        <f>J15+K15</f>
        <v>13681.51</v>
      </c>
      <c r="N15" s="20" t="str">
        <f>A15</f>
        <v>D7</v>
      </c>
      <c r="P15" s="6"/>
    </row>
    <row r="16" spans="1:16" x14ac:dyDescent="0.2">
      <c r="A16" s="28" t="s">
        <v>8</v>
      </c>
      <c r="B16" s="16">
        <f>VLOOKUP('2019'!$A16,'CCNL Economico 2022'!$A$7:$G$38,7,FALSE)+VLOOKUP('2019'!$A16,'CCNL Economico 2022'!$A$7:$K$38,11,FALSE)</f>
        <v>29251.24</v>
      </c>
      <c r="C16" s="33">
        <f t="shared" si="0"/>
        <v>22706</v>
      </c>
      <c r="D16" s="4"/>
      <c r="E16" s="4">
        <f t="shared" si="8"/>
        <v>6545.24</v>
      </c>
      <c r="F16" s="4">
        <f>VLOOKUP($A16,'CCNL Economico 2022'!$Q$7:$S$37,3,FALSE)</f>
        <v>2422.16</v>
      </c>
      <c r="G16" s="4">
        <f>VLOOKUP(A16,'Emonum Acc 2023'!$B$8:$D$43,3,FALSE)*12</f>
        <v>436.56000000000006</v>
      </c>
      <c r="H16" s="4">
        <f t="shared" si="2"/>
        <v>2437.6</v>
      </c>
      <c r="I16" s="4">
        <f t="shared" si="3"/>
        <v>34547.56</v>
      </c>
      <c r="J16" s="4">
        <f t="shared" si="7"/>
        <v>10298.01</v>
      </c>
      <c r="K16" s="4">
        <f>ROUND(I16*8.5%,0)</f>
        <v>2937</v>
      </c>
      <c r="L16" s="4">
        <f>I16+J16+K16</f>
        <v>47782.57</v>
      </c>
      <c r="M16" s="23">
        <f>J16+K16</f>
        <v>13235.01</v>
      </c>
      <c r="N16" s="20" t="str">
        <f>A16</f>
        <v>D6</v>
      </c>
      <c r="P16" s="6"/>
    </row>
    <row r="17" spans="1:16" x14ac:dyDescent="0.2">
      <c r="A17" s="28" t="s">
        <v>9</v>
      </c>
      <c r="B17" s="16">
        <f>VLOOKUP('2019'!$A17,'CCNL Economico 2022'!$A$7:$G$38,7,FALSE)+VLOOKUP('2019'!$A17,'CCNL Economico 2022'!$A$7:$K$38,11,FALSE)</f>
        <v>28232.100000000002</v>
      </c>
      <c r="C17" s="33">
        <f t="shared" si="0"/>
        <v>21686.86</v>
      </c>
      <c r="D17" s="4"/>
      <c r="E17" s="4">
        <f t="shared" si="8"/>
        <v>6545.24</v>
      </c>
      <c r="F17" s="4">
        <f>VLOOKUP($A17,'CCNL Economico 2022'!$Q$7:$S$37,3,FALSE)</f>
        <v>2422.16</v>
      </c>
      <c r="G17" s="4">
        <f>VLOOKUP(A17,'Emonum Acc 2023'!$B$8:$D$43,3,FALSE)*12</f>
        <v>421.32</v>
      </c>
      <c r="H17" s="4">
        <f t="shared" si="2"/>
        <v>2352.6799999999998</v>
      </c>
      <c r="I17" s="4">
        <f t="shared" si="3"/>
        <v>33428.26</v>
      </c>
      <c r="J17" s="4">
        <f t="shared" si="7"/>
        <v>9964.43</v>
      </c>
      <c r="K17" s="4">
        <f t="shared" si="4"/>
        <v>2841</v>
      </c>
      <c r="L17" s="4">
        <f t="shared" si="5"/>
        <v>46233.69</v>
      </c>
      <c r="M17" s="23">
        <f t="shared" si="6"/>
        <v>12805.43</v>
      </c>
      <c r="N17" s="20" t="s">
        <v>9</v>
      </c>
      <c r="P17" s="6"/>
    </row>
    <row r="18" spans="1:16" x14ac:dyDescent="0.2">
      <c r="A18" s="28" t="s">
        <v>10</v>
      </c>
      <c r="B18" s="16">
        <f>VLOOKUP('2019'!$A18,'CCNL Economico 2022'!$A$7:$G$38,7,FALSE)+VLOOKUP('2019'!$A18,'CCNL Economico 2022'!$A$7:$K$38,11,FALSE)</f>
        <v>27259.079999999998</v>
      </c>
      <c r="C18" s="33">
        <f t="shared" si="0"/>
        <v>20713.839999999997</v>
      </c>
      <c r="D18" s="4"/>
      <c r="E18" s="4">
        <f t="shared" si="8"/>
        <v>6545.24</v>
      </c>
      <c r="F18" s="4">
        <f>VLOOKUP($A18,'CCNL Economico 2022'!$Q$7:$S$37,3,FALSE)</f>
        <v>2422.16</v>
      </c>
      <c r="G18" s="4">
        <f>VLOOKUP(A18,'Emonum Acc 2023'!$B$8:$D$43,3,FALSE)*12</f>
        <v>406.79999999999995</v>
      </c>
      <c r="H18" s="4">
        <f t="shared" si="2"/>
        <v>2271.59</v>
      </c>
      <c r="I18" s="4">
        <f t="shared" si="3"/>
        <v>32359.629999999997</v>
      </c>
      <c r="J18" s="4">
        <f t="shared" si="7"/>
        <v>9645.9500000000007</v>
      </c>
      <c r="K18" s="4">
        <f t="shared" si="4"/>
        <v>2751</v>
      </c>
      <c r="L18" s="4">
        <f t="shared" si="5"/>
        <v>44756.58</v>
      </c>
      <c r="M18" s="23">
        <f t="shared" si="6"/>
        <v>12396.95</v>
      </c>
      <c r="N18" s="20" t="s">
        <v>10</v>
      </c>
      <c r="P18" s="6"/>
    </row>
    <row r="19" spans="1:16" s="6" customFormat="1" x14ac:dyDescent="0.2">
      <c r="A19" s="28" t="s">
        <v>11</v>
      </c>
      <c r="B19" s="16">
        <f>VLOOKUP('2019'!$A19,'CCNL Economico 2022'!$A$7:$G$38,7,FALSE)+VLOOKUP('2019'!$A19,'CCNL Economico 2022'!$A$7:$K$38,11,FALSE)</f>
        <v>25940.93</v>
      </c>
      <c r="C19" s="33">
        <f t="shared" si="0"/>
        <v>19395.690000000002</v>
      </c>
      <c r="D19" s="4"/>
      <c r="E19" s="4">
        <f t="shared" si="8"/>
        <v>6545.24</v>
      </c>
      <c r="F19" s="4">
        <f>VLOOKUP($A19,'CCNL Economico 2022'!$Q$7:$S$37,3,FALSE)</f>
        <v>2422.16</v>
      </c>
      <c r="G19" s="4">
        <f>VLOOKUP(A19,'Emonum Acc 2023'!$B$8:$D$43,3,FALSE)*12</f>
        <v>387.12</v>
      </c>
      <c r="H19" s="4">
        <f t="shared" si="2"/>
        <v>2161.7399999999998</v>
      </c>
      <c r="I19" s="4">
        <f t="shared" si="3"/>
        <v>30911.95</v>
      </c>
      <c r="J19" s="4">
        <f t="shared" si="7"/>
        <v>9214.5</v>
      </c>
      <c r="K19" s="4">
        <f t="shared" si="4"/>
        <v>2628</v>
      </c>
      <c r="L19" s="4">
        <f t="shared" si="5"/>
        <v>42754.45</v>
      </c>
      <c r="M19" s="23">
        <f t="shared" si="6"/>
        <v>11842.5</v>
      </c>
      <c r="N19" s="20" t="s">
        <v>11</v>
      </c>
    </row>
    <row r="20" spans="1:16" s="6" customFormat="1" x14ac:dyDescent="0.2">
      <c r="A20" s="28" t="s">
        <v>12</v>
      </c>
      <c r="B20" s="16">
        <f>VLOOKUP('2019'!$A20,'CCNL Economico 2022'!$A$7:$G$38,7,FALSE)+VLOOKUP('2019'!$A20,'CCNL Economico 2022'!$A$7:$K$38,11,FALSE)</f>
        <v>24935.440000000002</v>
      </c>
      <c r="C20" s="33">
        <f t="shared" si="0"/>
        <v>18390.200000000004</v>
      </c>
      <c r="D20" s="4"/>
      <c r="E20" s="4">
        <f t="shared" si="8"/>
        <v>6545.24</v>
      </c>
      <c r="F20" s="4">
        <f>VLOOKUP($A20,'CCNL Economico 2022'!$Q$7:$S$37,3,FALSE)</f>
        <v>2422.16</v>
      </c>
      <c r="G20" s="4">
        <f>VLOOKUP(A20,'Emonum Acc 2023'!$B$8:$D$43,3,FALSE)*12</f>
        <v>372.12</v>
      </c>
      <c r="H20" s="4">
        <f t="shared" si="2"/>
        <v>2077.9499999999998</v>
      </c>
      <c r="I20" s="4">
        <f t="shared" si="3"/>
        <v>29807.670000000002</v>
      </c>
      <c r="J20" s="4">
        <f t="shared" si="7"/>
        <v>8885.4</v>
      </c>
      <c r="K20" s="4">
        <f t="shared" si="4"/>
        <v>2534</v>
      </c>
      <c r="L20" s="4">
        <f t="shared" si="5"/>
        <v>41227.07</v>
      </c>
      <c r="M20" s="23">
        <f t="shared" si="6"/>
        <v>11419.4</v>
      </c>
      <c r="N20" s="20" t="s">
        <v>12</v>
      </c>
    </row>
    <row r="21" spans="1:16" s="6" customFormat="1" ht="13.5" thickBot="1" x14ac:dyDescent="0.25">
      <c r="A21" s="29" t="s">
        <v>13</v>
      </c>
      <c r="B21" s="36">
        <f>VLOOKUP('2019'!$A21,'CCNL Economico 2022'!$A$7:$G$38,7,FALSE)+VLOOKUP('2019'!$A21,'CCNL Economico 2022'!$A$7:$K$38,11,FALSE)</f>
        <v>24021.99</v>
      </c>
      <c r="C21" s="35">
        <f t="shared" si="0"/>
        <v>17476.75</v>
      </c>
      <c r="D21" s="5"/>
      <c r="E21" s="5">
        <f t="shared" si="8"/>
        <v>6545.24</v>
      </c>
      <c r="F21" s="5">
        <f>VLOOKUP($A21,'CCNL Economico 2022'!$Q$7:$S$37,3,FALSE)</f>
        <v>2422.16</v>
      </c>
      <c r="G21" s="5">
        <f>VLOOKUP(A21,'Emonum Acc 2023'!$B$8:$D$43,3,FALSE)*12</f>
        <v>358.56</v>
      </c>
      <c r="H21" s="5">
        <f t="shared" si="2"/>
        <v>2001.83</v>
      </c>
      <c r="I21" s="5">
        <f t="shared" si="3"/>
        <v>28804.540000000005</v>
      </c>
      <c r="J21" s="5">
        <f>ROUND((I21-G21)*29.88%+G21*24.2%,2)</f>
        <v>8586.43</v>
      </c>
      <c r="K21" s="5">
        <f t="shared" si="4"/>
        <v>2448</v>
      </c>
      <c r="L21" s="5">
        <f t="shared" si="5"/>
        <v>39838.97</v>
      </c>
      <c r="M21" s="24">
        <f t="shared" si="6"/>
        <v>11034.43</v>
      </c>
      <c r="N21" s="21" t="s">
        <v>13</v>
      </c>
    </row>
    <row r="22" spans="1:16" s="6" customFormat="1" x14ac:dyDescent="0.2">
      <c r="A22" s="26" t="s">
        <v>45</v>
      </c>
      <c r="B22" s="15">
        <f>VLOOKUP('2019'!$A22,'CCNL Economico 2022'!$A$7:$G$38,7,FALSE)+VLOOKUP('2019'!$A22,'CCNL Economico 2022'!$A$7:$K$38,11,FALSE)</f>
        <v>25903.34</v>
      </c>
      <c r="C22" s="34">
        <f t="shared" si="0"/>
        <v>19453.260000000002</v>
      </c>
      <c r="D22" s="3"/>
      <c r="E22" s="3">
        <f>6450.08</f>
        <v>6450.08</v>
      </c>
      <c r="F22" s="3">
        <f>VLOOKUP($A22,'CCNL Economico 2022'!$Q$7:$S$37,3,FALSE)</f>
        <v>1693.97</v>
      </c>
      <c r="G22" s="3">
        <f>VLOOKUP(A22,'Emonum Acc 2023'!$B$8:$D$43,3,FALSE)*12</f>
        <v>386.64</v>
      </c>
      <c r="H22" s="3">
        <f t="shared" si="2"/>
        <v>2158.61</v>
      </c>
      <c r="I22" s="3">
        <f t="shared" si="3"/>
        <v>30142.560000000001</v>
      </c>
      <c r="J22" s="3">
        <f t="shared" ref="J22:J36" si="9">ROUND((I22-G22)*29.88%+G22*24.2%,2)</f>
        <v>8984.64</v>
      </c>
      <c r="K22" s="3">
        <f>ROUND(I22*8.5%,0)</f>
        <v>2562</v>
      </c>
      <c r="L22" s="3">
        <f>I22+J22+K22</f>
        <v>41689.199999999997</v>
      </c>
      <c r="M22" s="22">
        <f>J22+K22</f>
        <v>11546.64</v>
      </c>
      <c r="N22" s="19" t="str">
        <f>A22</f>
        <v>C8</v>
      </c>
    </row>
    <row r="23" spans="1:16" s="6" customFormat="1" x14ac:dyDescent="0.2">
      <c r="A23" s="27" t="s">
        <v>14</v>
      </c>
      <c r="B23" s="16">
        <f>VLOOKUP('2019'!$A23,'CCNL Economico 2022'!$A$7:$G$38,7,FALSE)+VLOOKUP('2019'!$A23,'CCNL Economico 2022'!$A$7:$K$38,11,FALSE)</f>
        <v>25152.78</v>
      </c>
      <c r="C23" s="33">
        <f>B23-E23</f>
        <v>18702.699999999997</v>
      </c>
      <c r="D23" s="4"/>
      <c r="E23" s="4">
        <f>6450.08</f>
        <v>6450.08</v>
      </c>
      <c r="F23" s="4">
        <f>VLOOKUP($A23,'CCNL Economico 2022'!$Q$7:$S$37,3,FALSE)</f>
        <v>1693.97</v>
      </c>
      <c r="G23" s="4">
        <f>VLOOKUP(A23,'Emonum Acc 2023'!$B$8:$D$43,3,FALSE)*12</f>
        <v>375.36</v>
      </c>
      <c r="H23" s="4">
        <f>ROUND((B23)/12,2)</f>
        <v>2096.0700000000002</v>
      </c>
      <c r="I23" s="4">
        <f>B23+D23+G23+H23+F23</f>
        <v>29318.18</v>
      </c>
      <c r="J23" s="4">
        <f t="shared" si="9"/>
        <v>8738.9500000000007</v>
      </c>
      <c r="K23" s="4">
        <f>ROUND(I23*8.5%,0)</f>
        <v>2492</v>
      </c>
      <c r="L23" s="4">
        <f>I23+J23+K23</f>
        <v>40549.130000000005</v>
      </c>
      <c r="M23" s="23">
        <f>J23+K23</f>
        <v>11230.95</v>
      </c>
      <c r="N23" s="20" t="str">
        <f>A23</f>
        <v>C7</v>
      </c>
    </row>
    <row r="24" spans="1:16" s="6" customFormat="1" x14ac:dyDescent="0.2">
      <c r="A24" s="28" t="s">
        <v>15</v>
      </c>
      <c r="B24" s="16">
        <f>VLOOKUP('2019'!$A24,'CCNL Economico 2022'!$A$7:$G$38,7,FALSE)+VLOOKUP('2019'!$A24,'CCNL Economico 2022'!$A$7:$K$38,11,FALSE)</f>
        <v>24391.439999999999</v>
      </c>
      <c r="C24" s="33">
        <f t="shared" si="0"/>
        <v>17941.36</v>
      </c>
      <c r="D24" s="4"/>
      <c r="E24" s="4">
        <f>6450.08</f>
        <v>6450.08</v>
      </c>
      <c r="F24" s="4">
        <f>VLOOKUP($A24,'CCNL Economico 2022'!$Q$7:$S$37,3,FALSE)</f>
        <v>1693.97</v>
      </c>
      <c r="G24" s="4">
        <f>VLOOKUP(A24,'Emonum Acc 2023'!$B$8:$D$43,3,FALSE)*12</f>
        <v>364.08</v>
      </c>
      <c r="H24" s="4">
        <f t="shared" si="2"/>
        <v>2032.62</v>
      </c>
      <c r="I24" s="4">
        <f t="shared" si="3"/>
        <v>28482.11</v>
      </c>
      <c r="J24" s="4">
        <f t="shared" si="9"/>
        <v>8489.77</v>
      </c>
      <c r="K24" s="4">
        <f>ROUND(I24*8.5%,0)</f>
        <v>2421</v>
      </c>
      <c r="L24" s="4">
        <f>I24+J24+K24</f>
        <v>39392.880000000005</v>
      </c>
      <c r="M24" s="23">
        <f>J24+K24</f>
        <v>10910.77</v>
      </c>
      <c r="N24" s="20" t="str">
        <f>A24</f>
        <v>C6</v>
      </c>
    </row>
    <row r="25" spans="1:16" s="6" customFormat="1" x14ac:dyDescent="0.2">
      <c r="A25" s="28" t="s">
        <v>16</v>
      </c>
      <c r="B25" s="16">
        <f>VLOOKUP('2019'!$A25,'CCNL Economico 2022'!$A$7:$G$38,7,FALSE)+VLOOKUP('2019'!$A25,'CCNL Economico 2022'!$A$7:$K$38,11,FALSE)</f>
        <v>23647.919999999998</v>
      </c>
      <c r="C25" s="33">
        <f t="shared" si="0"/>
        <v>17197.839999999997</v>
      </c>
      <c r="D25" s="4"/>
      <c r="E25" s="4">
        <f>6450.08</f>
        <v>6450.08</v>
      </c>
      <c r="F25" s="4">
        <f>VLOOKUP($A25,'CCNL Economico 2022'!$Q$7:$S$37,3,FALSE)</f>
        <v>1693.97</v>
      </c>
      <c r="G25" s="4">
        <f>VLOOKUP(A25,'Emonum Acc 2023'!$B$8:$D$43,3,FALSE)*12</f>
        <v>352.92</v>
      </c>
      <c r="H25" s="4">
        <f t="shared" si="2"/>
        <v>1970.66</v>
      </c>
      <c r="I25" s="4">
        <f t="shared" si="3"/>
        <v>27665.469999999998</v>
      </c>
      <c r="J25" s="4">
        <f t="shared" si="9"/>
        <v>8246.4</v>
      </c>
      <c r="K25" s="4">
        <f t="shared" si="4"/>
        <v>2352</v>
      </c>
      <c r="L25" s="4">
        <f>I25+J25+K25</f>
        <v>38263.869999999995</v>
      </c>
      <c r="M25" s="23">
        <f t="shared" si="6"/>
        <v>10598.4</v>
      </c>
      <c r="N25" s="20" t="s">
        <v>16</v>
      </c>
    </row>
    <row r="26" spans="1:16" s="6" customFormat="1" x14ac:dyDescent="0.2">
      <c r="A26" s="27" t="s">
        <v>17</v>
      </c>
      <c r="B26" s="16">
        <f>VLOOKUP('2019'!$A26,'CCNL Economico 2022'!$A$7:$G$38,7,FALSE)+VLOOKUP('2019'!$A26,'CCNL Economico 2022'!$A$7:$K$38,11,FALSE)</f>
        <v>22945.199999999997</v>
      </c>
      <c r="C26" s="33">
        <f t="shared" si="0"/>
        <v>16495.119999999995</v>
      </c>
      <c r="D26" s="4"/>
      <c r="E26" s="4">
        <f>6450.08</f>
        <v>6450.08</v>
      </c>
      <c r="F26" s="4">
        <f>VLOOKUP($A26,'CCNL Economico 2022'!$Q$7:$S$37,3,FALSE)</f>
        <v>1693.97</v>
      </c>
      <c r="G26" s="4">
        <f>VLOOKUP(A26,'Emonum Acc 2023'!$B$8:$D$43,3,FALSE)*12</f>
        <v>342.48</v>
      </c>
      <c r="H26" s="4">
        <f t="shared" si="2"/>
        <v>1912.1</v>
      </c>
      <c r="I26" s="4">
        <f t="shared" si="3"/>
        <v>26893.749999999996</v>
      </c>
      <c r="J26" s="4">
        <f t="shared" si="9"/>
        <v>8016.4</v>
      </c>
      <c r="K26" s="4">
        <f t="shared" si="4"/>
        <v>2286</v>
      </c>
      <c r="L26" s="4">
        <f t="shared" si="5"/>
        <v>37196.149999999994</v>
      </c>
      <c r="M26" s="23">
        <f t="shared" si="6"/>
        <v>10302.4</v>
      </c>
      <c r="N26" s="20" t="s">
        <v>17</v>
      </c>
    </row>
    <row r="27" spans="1:16" s="6" customFormat="1" x14ac:dyDescent="0.2">
      <c r="A27" s="28" t="s">
        <v>18</v>
      </c>
      <c r="B27" s="16">
        <f>VLOOKUP('2019'!$A27,'CCNL Economico 2022'!$A$7:$G$38,7,FALSE)+VLOOKUP('2019'!$A27,'CCNL Economico 2022'!$A$7:$K$38,11,FALSE)</f>
        <v>21861.72</v>
      </c>
      <c r="C27" s="33">
        <f t="shared" si="0"/>
        <v>15489.080000000002</v>
      </c>
      <c r="D27" s="4"/>
      <c r="E27" s="4">
        <f>6372.64</f>
        <v>6372.64</v>
      </c>
      <c r="F27" s="4">
        <f>VLOOKUP($A27,'CCNL Economico 2022'!$Q$7:$S$37,3,FALSE)</f>
        <v>1693.97</v>
      </c>
      <c r="G27" s="4">
        <f>VLOOKUP(A27,'Emonum Acc 2023'!$B$8:$D$43,3,FALSE)*12</f>
        <v>326.28000000000003</v>
      </c>
      <c r="H27" s="4">
        <f t="shared" si="2"/>
        <v>1821.81</v>
      </c>
      <c r="I27" s="4">
        <f t="shared" si="3"/>
        <v>25703.780000000002</v>
      </c>
      <c r="J27" s="4">
        <f t="shared" si="9"/>
        <v>7661.76</v>
      </c>
      <c r="K27" s="4">
        <f t="shared" si="4"/>
        <v>2185</v>
      </c>
      <c r="L27" s="4">
        <f t="shared" si="5"/>
        <v>35550.54</v>
      </c>
      <c r="M27" s="23">
        <f t="shared" si="6"/>
        <v>9846.76</v>
      </c>
      <c r="N27" s="20" t="s">
        <v>18</v>
      </c>
    </row>
    <row r="28" spans="1:16" s="6" customFormat="1" x14ac:dyDescent="0.2">
      <c r="A28" s="28" t="s">
        <v>19</v>
      </c>
      <c r="B28" s="16">
        <f>VLOOKUP('2019'!$A28,'CCNL Economico 2022'!$A$7:$G$38,7,FALSE)+VLOOKUP('2019'!$A28,'CCNL Economico 2022'!$A$7:$K$38,11,FALSE)</f>
        <v>21057.359999999997</v>
      </c>
      <c r="C28" s="33">
        <f t="shared" si="0"/>
        <v>14684.719999999998</v>
      </c>
      <c r="D28" s="4"/>
      <c r="E28" s="4">
        <f>6372.64</f>
        <v>6372.64</v>
      </c>
      <c r="F28" s="4">
        <f>VLOOKUP($A28,'CCNL Economico 2022'!$Q$7:$S$37,3,FALSE)</f>
        <v>1693.97</v>
      </c>
      <c r="G28" s="4">
        <f>VLOOKUP(A28,'Emonum Acc 2023'!$B$8:$D$43,3,FALSE)*12</f>
        <v>314.28000000000003</v>
      </c>
      <c r="H28" s="4">
        <f t="shared" si="2"/>
        <v>1754.78</v>
      </c>
      <c r="I28" s="4">
        <f t="shared" si="3"/>
        <v>24820.389999999996</v>
      </c>
      <c r="J28" s="4">
        <f t="shared" si="9"/>
        <v>7398.48</v>
      </c>
      <c r="K28" s="4">
        <f t="shared" si="4"/>
        <v>2110</v>
      </c>
      <c r="L28" s="4">
        <f t="shared" si="5"/>
        <v>34328.869999999995</v>
      </c>
      <c r="M28" s="23">
        <f t="shared" si="6"/>
        <v>9508.48</v>
      </c>
      <c r="N28" s="20" t="s">
        <v>19</v>
      </c>
    </row>
    <row r="29" spans="1:16" s="6" customFormat="1" ht="13.5" thickBot="1" x14ac:dyDescent="0.25">
      <c r="A29" s="29" t="s">
        <v>20</v>
      </c>
      <c r="B29" s="36">
        <f>VLOOKUP('2019'!$A29,'CCNL Economico 2022'!$A$7:$G$38,7,FALSE)+VLOOKUP('2019'!$A29,'CCNL Economico 2022'!$A$7:$K$38,11,FALSE)</f>
        <v>20669.440000000002</v>
      </c>
      <c r="C29" s="35">
        <f t="shared" si="0"/>
        <v>14296.800000000003</v>
      </c>
      <c r="D29" s="5"/>
      <c r="E29" s="5">
        <f>6372.64</f>
        <v>6372.64</v>
      </c>
      <c r="F29" s="5">
        <f>VLOOKUP($A29,'CCNL Economico 2022'!$Q$7:$S$37,3,FALSE)</f>
        <v>1693.97</v>
      </c>
      <c r="G29" s="5">
        <f>VLOOKUP(A29,'Emonum Acc 2023'!$B$8:$D$43,3,FALSE)*12</f>
        <v>308.52</v>
      </c>
      <c r="H29" s="5">
        <f t="shared" si="2"/>
        <v>1722.45</v>
      </c>
      <c r="I29" s="5">
        <f t="shared" si="3"/>
        <v>24394.380000000005</v>
      </c>
      <c r="J29" s="5">
        <f t="shared" si="9"/>
        <v>7271.52</v>
      </c>
      <c r="K29" s="5">
        <f t="shared" si="4"/>
        <v>2074</v>
      </c>
      <c r="L29" s="5">
        <f t="shared" si="5"/>
        <v>33739.900000000009</v>
      </c>
      <c r="M29" s="24">
        <f t="shared" si="6"/>
        <v>9345.52</v>
      </c>
      <c r="N29" s="21" t="s">
        <v>20</v>
      </c>
    </row>
    <row r="30" spans="1:16" s="6" customFormat="1" x14ac:dyDescent="0.2">
      <c r="A30" s="26" t="s">
        <v>31</v>
      </c>
      <c r="B30" s="15">
        <f>VLOOKUP('2019'!$A30,'CCNL Economico 2022'!$A$7:$G$38,7,FALSE)+VLOOKUP('2019'!$A30,'CCNL Economico 2022'!$A$7:$K$38,11,FALSE)</f>
        <v>23045.32</v>
      </c>
      <c r="C30" s="34">
        <f t="shared" si="0"/>
        <v>16712.36</v>
      </c>
      <c r="D30" s="3"/>
      <c r="E30" s="3">
        <f>6332.96</f>
        <v>6332.96</v>
      </c>
      <c r="F30" s="3">
        <f>VLOOKUP($A30,'CCNL Economico 2022'!$Q$7:$S$37,3,FALSE)</f>
        <v>1246.1599999999999</v>
      </c>
      <c r="G30" s="3">
        <f>VLOOKUP(A30,'Emonum Acc 2023'!$B$8:$D$43,3,FALSE)*12</f>
        <v>343.92</v>
      </c>
      <c r="H30" s="3">
        <f t="shared" si="2"/>
        <v>1920.44</v>
      </c>
      <c r="I30" s="3">
        <f t="shared" si="3"/>
        <v>26555.839999999997</v>
      </c>
      <c r="J30" s="3">
        <f t="shared" si="9"/>
        <v>7915.35</v>
      </c>
      <c r="K30" s="3">
        <f>ROUND(I30*8.5%,0)</f>
        <v>2257</v>
      </c>
      <c r="L30" s="3">
        <f>I30+J30+K30</f>
        <v>36728.189999999995</v>
      </c>
      <c r="M30" s="22">
        <f>J30+K30</f>
        <v>10172.35</v>
      </c>
      <c r="N30" s="19" t="str">
        <f>A30</f>
        <v>B7</v>
      </c>
    </row>
    <row r="31" spans="1:16" s="6" customFormat="1" ht="12" customHeight="1" x14ac:dyDescent="0.2">
      <c r="A31" s="27" t="s">
        <v>21</v>
      </c>
      <c r="B31" s="16">
        <f>VLOOKUP('2019'!$A31,'CCNL Economico 2022'!$A$7:$G$38,7,FALSE)+VLOOKUP('2019'!$A31,'CCNL Economico 2022'!$A$7:$K$38,11,FALSE)</f>
        <v>22491.24</v>
      </c>
      <c r="C31" s="33">
        <f>B31-E31</f>
        <v>16158.280000000002</v>
      </c>
      <c r="D31" s="4"/>
      <c r="E31" s="4">
        <f>6332.96</f>
        <v>6332.96</v>
      </c>
      <c r="F31" s="4">
        <f>VLOOKUP($A31,'CCNL Economico 2022'!$Q$7:$S$37,3,FALSE)</f>
        <v>1246.1599999999999</v>
      </c>
      <c r="G31" s="4">
        <f>VLOOKUP(A31,'Emonum Acc 2023'!$B$8:$D$43,3,FALSE)*12</f>
        <v>335.64</v>
      </c>
      <c r="H31" s="4">
        <f>ROUND((B31)/12,2)</f>
        <v>1874.27</v>
      </c>
      <c r="I31" s="4">
        <f>B31+D31+G31+H31+F31</f>
        <v>25947.31</v>
      </c>
      <c r="J31" s="4">
        <f t="shared" si="9"/>
        <v>7733.99</v>
      </c>
      <c r="K31" s="4">
        <f>ROUND(I31*8.5%,0)</f>
        <v>2206</v>
      </c>
      <c r="L31" s="4">
        <f>I31+J31+K31</f>
        <v>35887.300000000003</v>
      </c>
      <c r="M31" s="23">
        <f>J31+K31</f>
        <v>9939.99</v>
      </c>
      <c r="N31" s="20" t="str">
        <f>A31</f>
        <v>B6</v>
      </c>
    </row>
    <row r="32" spans="1:16" s="6" customFormat="1" ht="12" customHeight="1" x14ac:dyDescent="0.2">
      <c r="A32" s="27" t="s">
        <v>22</v>
      </c>
      <c r="B32" s="16">
        <f>VLOOKUP('2019'!$A32,'CCNL Economico 2022'!$A$7:$G$38,7,FALSE)+VLOOKUP('2019'!$A32,'CCNL Economico 2022'!$A$7:$K$38,11,FALSE)</f>
        <v>21692.1</v>
      </c>
      <c r="C32" s="33">
        <f t="shared" si="0"/>
        <v>15359.14</v>
      </c>
      <c r="D32" s="4"/>
      <c r="E32" s="4">
        <f>6332.96</f>
        <v>6332.96</v>
      </c>
      <c r="F32" s="4">
        <f>VLOOKUP($A32,'CCNL Economico 2022'!$Q$7:$S$37,3,FALSE)</f>
        <v>1246.1599999999999</v>
      </c>
      <c r="G32" s="4">
        <f>VLOOKUP(A32,'Emonum Acc 2023'!$B$8:$D$43,3,FALSE)*12</f>
        <v>323.76</v>
      </c>
      <c r="H32" s="4">
        <f t="shared" si="2"/>
        <v>1807.68</v>
      </c>
      <c r="I32" s="4">
        <f t="shared" si="3"/>
        <v>25069.699999999997</v>
      </c>
      <c r="J32" s="4">
        <f t="shared" si="9"/>
        <v>7472.44</v>
      </c>
      <c r="K32" s="4">
        <f>ROUND(I32*8.5%,0)</f>
        <v>2131</v>
      </c>
      <c r="L32" s="4">
        <f>I32+J32+K32</f>
        <v>34673.14</v>
      </c>
      <c r="M32" s="23">
        <f>J32+K32</f>
        <v>9603.4399999999987</v>
      </c>
      <c r="N32" s="20" t="str">
        <f>A32</f>
        <v>B5</v>
      </c>
    </row>
    <row r="33" spans="1:16" s="6" customFormat="1" x14ac:dyDescent="0.2">
      <c r="A33" s="27" t="s">
        <v>23</v>
      </c>
      <c r="B33" s="16">
        <f>VLOOKUP('2019'!$A33,'CCNL Economico 2022'!$A$7:$G$38,7,FALSE)+VLOOKUP('2019'!$A33,'CCNL Economico 2022'!$A$7:$K$38,11,FALSE)</f>
        <v>20917.120000000003</v>
      </c>
      <c r="C33" s="33">
        <f t="shared" si="0"/>
        <v>14584.160000000003</v>
      </c>
      <c r="D33" s="4"/>
      <c r="E33" s="4">
        <f>6332.96</f>
        <v>6332.96</v>
      </c>
      <c r="F33" s="4">
        <f>VLOOKUP($A33,'CCNL Economico 2022'!$Q$7:$S$37,3,FALSE)</f>
        <v>1246.1599999999999</v>
      </c>
      <c r="G33" s="4">
        <f>VLOOKUP(A33,'Emonum Acc 2023'!$B$8:$D$43,3,FALSE)*12</f>
        <v>312.24</v>
      </c>
      <c r="H33" s="4">
        <f t="shared" si="2"/>
        <v>1743.09</v>
      </c>
      <c r="I33" s="4">
        <f t="shared" si="3"/>
        <v>24218.610000000004</v>
      </c>
      <c r="J33" s="4">
        <f t="shared" si="9"/>
        <v>7218.79</v>
      </c>
      <c r="K33" s="4">
        <f t="shared" si="4"/>
        <v>2059</v>
      </c>
      <c r="L33" s="4">
        <f t="shared" si="5"/>
        <v>33496.400000000009</v>
      </c>
      <c r="M33" s="23">
        <f t="shared" si="6"/>
        <v>9277.7900000000009</v>
      </c>
      <c r="N33" s="20" t="s">
        <v>23</v>
      </c>
    </row>
    <row r="34" spans="1:16" s="6" customFormat="1" x14ac:dyDescent="0.2">
      <c r="A34" s="30" t="s">
        <v>24</v>
      </c>
      <c r="B34" s="16">
        <f>VLOOKUP('2019'!$A34,'CCNL Economico 2022'!$A$7:$G$38,7,FALSE)+VLOOKUP('2019'!$A34,'CCNL Economico 2022'!$A$7:$K$38,11,FALSE)</f>
        <v>20067.310000000001</v>
      </c>
      <c r="C34" s="33">
        <f t="shared" si="0"/>
        <v>13734.350000000002</v>
      </c>
      <c r="D34" s="4"/>
      <c r="E34" s="4">
        <f>6332.96</f>
        <v>6332.96</v>
      </c>
      <c r="F34" s="4">
        <f>VLOOKUP($A34,'CCNL Economico 2022'!$Q$7:$S$37,3,FALSE)</f>
        <v>1246.1599999999999</v>
      </c>
      <c r="G34" s="4">
        <f>VLOOKUP(A34,'Emonum Acc 2023'!$B$8:$D$43,3,FALSE)*12</f>
        <v>299.52</v>
      </c>
      <c r="H34" s="4">
        <f t="shared" si="2"/>
        <v>1672.28</v>
      </c>
      <c r="I34" s="4">
        <f t="shared" si="3"/>
        <v>23285.27</v>
      </c>
      <c r="J34" s="4">
        <f t="shared" si="9"/>
        <v>6940.63</v>
      </c>
      <c r="K34" s="4">
        <f t="shared" si="4"/>
        <v>1979</v>
      </c>
      <c r="L34" s="4">
        <f t="shared" si="5"/>
        <v>32204.9</v>
      </c>
      <c r="M34" s="23">
        <f t="shared" si="6"/>
        <v>8919.630000000001</v>
      </c>
      <c r="N34" s="20" t="s">
        <v>24</v>
      </c>
      <c r="P34" s="84"/>
    </row>
    <row r="35" spans="1:16" s="6" customFormat="1" x14ac:dyDescent="0.2">
      <c r="A35" s="27" t="s">
        <v>25</v>
      </c>
      <c r="B35" s="16">
        <f>VLOOKUP('2019'!$A35,'CCNL Economico 2022'!$A$7:$G$38,7,FALSE)+VLOOKUP('2019'!$A35,'CCNL Economico 2022'!$A$7:$K$38,11,FALSE)</f>
        <v>19258.27</v>
      </c>
      <c r="C35" s="33">
        <f t="shared" si="0"/>
        <v>12967.130000000001</v>
      </c>
      <c r="D35" s="4"/>
      <c r="E35" s="4">
        <f>6291.14</f>
        <v>6291.14</v>
      </c>
      <c r="F35" s="4">
        <f>VLOOKUP($A35,'CCNL Economico 2022'!$Q$7:$S$37,3,FALSE)</f>
        <v>1246.1599999999999</v>
      </c>
      <c r="G35" s="4">
        <f>VLOOKUP(A35,'Emonum Acc 2023'!$B$8:$D$43,3,FALSE)*12</f>
        <v>287.39999999999998</v>
      </c>
      <c r="H35" s="4">
        <f t="shared" si="2"/>
        <v>1604.86</v>
      </c>
      <c r="I35" s="4">
        <f t="shared" si="3"/>
        <v>22396.690000000002</v>
      </c>
      <c r="J35" s="4">
        <f t="shared" si="9"/>
        <v>6675.81</v>
      </c>
      <c r="K35" s="4">
        <f t="shared" si="4"/>
        <v>1904</v>
      </c>
      <c r="L35" s="4">
        <f t="shared" si="5"/>
        <v>30976.500000000004</v>
      </c>
      <c r="M35" s="23">
        <f t="shared" si="6"/>
        <v>8579.8100000000013</v>
      </c>
      <c r="N35" s="20" t="s">
        <v>25</v>
      </c>
    </row>
    <row r="36" spans="1:16" s="6" customFormat="1" ht="13.5" thickBot="1" x14ac:dyDescent="0.25">
      <c r="A36" s="31" t="s">
        <v>26</v>
      </c>
      <c r="B36" s="17">
        <f>VLOOKUP('2019'!$A36,'CCNL Economico 2022'!$A$7:$G$38,7,FALSE)+VLOOKUP('2019'!$A36,'CCNL Economico 2022'!$A$7:$K$38,11,FALSE)</f>
        <v>18165.14</v>
      </c>
      <c r="C36" s="35">
        <f t="shared" si="0"/>
        <v>11928.619999999999</v>
      </c>
      <c r="D36" s="5"/>
      <c r="E36" s="5">
        <f>6236.52</f>
        <v>6236.52</v>
      </c>
      <c r="F36" s="5">
        <f>VLOOKUP($A36,'CCNL Economico 2022'!$Q$7:$S$37,3,FALSE)</f>
        <v>1246.1599999999999</v>
      </c>
      <c r="G36" s="5">
        <f>VLOOKUP(A36,'Emonum Acc 2023'!$B$8:$D$43,3,FALSE)*12</f>
        <v>271.08</v>
      </c>
      <c r="H36" s="5">
        <f t="shared" si="2"/>
        <v>1513.76</v>
      </c>
      <c r="I36" s="5">
        <f t="shared" si="3"/>
        <v>21196.14</v>
      </c>
      <c r="J36" s="5">
        <f t="shared" si="9"/>
        <v>6318.01</v>
      </c>
      <c r="K36" s="5">
        <f t="shared" si="4"/>
        <v>1802</v>
      </c>
      <c r="L36" s="5">
        <f t="shared" si="5"/>
        <v>29316.15</v>
      </c>
      <c r="M36" s="24">
        <f t="shared" si="6"/>
        <v>8120.01</v>
      </c>
      <c r="N36" s="21" t="s">
        <v>26</v>
      </c>
    </row>
    <row r="39" spans="1:16" s="6" customFormat="1" x14ac:dyDescent="0.2">
      <c r="G39" s="18"/>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D4C2-CBB6-4A72-912A-245F8D86D019}">
  <dimension ref="A1:Y35"/>
  <sheetViews>
    <sheetView zoomScaleNormal="100" workbookViewId="0">
      <selection activeCell="L5" sqref="L5"/>
    </sheetView>
  </sheetViews>
  <sheetFormatPr defaultRowHeight="12.75" x14ac:dyDescent="0.2"/>
  <cols>
    <col min="1" max="1" width="6.140625" style="6" customWidth="1"/>
    <col min="2" max="3" width="11.42578125" style="6" customWidth="1"/>
    <col min="4" max="4" width="9.140625" style="6" customWidth="1"/>
    <col min="5" max="5" width="10.28515625" style="6" customWidth="1"/>
    <col min="6" max="6" width="11.5703125" style="6" customWidth="1"/>
    <col min="7" max="7" width="9.42578125" style="6" bestFit="1" customWidth="1"/>
    <col min="8" max="8" width="10.7109375" style="6" customWidth="1"/>
    <col min="9" max="9" width="10.85546875" style="6" customWidth="1"/>
    <col min="10" max="10" width="10.7109375" style="6" customWidth="1"/>
    <col min="11" max="11" width="12" style="6" customWidth="1"/>
    <col min="12" max="13" width="10.7109375" style="6" customWidth="1"/>
    <col min="14" max="14" width="6.28515625" style="6" customWidth="1"/>
    <col min="15" max="16" width="9.140625" style="6"/>
    <col min="17" max="16384" width="9.140625" style="9"/>
  </cols>
  <sheetData>
    <row r="1" spans="1:25" ht="18.75" x14ac:dyDescent="0.2">
      <c r="A1" s="2" t="s">
        <v>214</v>
      </c>
    </row>
    <row r="2" spans="1:25" x14ac:dyDescent="0.2">
      <c r="A2" s="10" t="s">
        <v>160</v>
      </c>
      <c r="B2" s="10"/>
      <c r="C2" s="10"/>
      <c r="E2" s="10"/>
      <c r="F2" s="10"/>
    </row>
    <row r="3" spans="1:25" ht="13.5" thickBot="1" x14ac:dyDescent="0.25">
      <c r="A3" s="11"/>
    </row>
    <row r="4" spans="1:25" s="127" customFormat="1" ht="64.5" thickBot="1" x14ac:dyDescent="0.25">
      <c r="A4" s="133" t="s">
        <v>27</v>
      </c>
      <c r="B4" s="276" t="s">
        <v>46</v>
      </c>
      <c r="C4" s="276" t="s">
        <v>209</v>
      </c>
      <c r="D4" s="131" t="s">
        <v>35</v>
      </c>
      <c r="E4" s="131" t="s">
        <v>33</v>
      </c>
      <c r="F4" s="131" t="s">
        <v>36</v>
      </c>
      <c r="G4" s="277" t="s">
        <v>42</v>
      </c>
      <c r="H4" s="131" t="s">
        <v>208</v>
      </c>
      <c r="I4" s="131" t="s">
        <v>32</v>
      </c>
      <c r="J4" s="131" t="s">
        <v>37</v>
      </c>
      <c r="K4" s="131" t="s">
        <v>38</v>
      </c>
      <c r="L4" s="131" t="s">
        <v>39</v>
      </c>
      <c r="M4" s="134" t="s">
        <v>40</v>
      </c>
      <c r="N4" s="133" t="s">
        <v>27</v>
      </c>
      <c r="O4" s="135"/>
      <c r="P4" s="135"/>
      <c r="R4" s="127" t="s">
        <v>200</v>
      </c>
      <c r="S4" s="127" t="s">
        <v>79</v>
      </c>
      <c r="T4" s="136" t="s">
        <v>206</v>
      </c>
      <c r="U4" s="136"/>
    </row>
    <row r="5" spans="1:25" x14ac:dyDescent="0.2">
      <c r="A5" s="207" t="s">
        <v>43</v>
      </c>
      <c r="B5" s="208">
        <f>VLOOKUP($A5,'CCNL Ec 2022 Giur 2024'!$A$7:$G$38,7,FALSE)+_xlfn.XLOOKUP(A5,'IVC Nuova'!A:A,'IVC Nuova'!F:F,0,0)*12</f>
        <v>39711.919999999998</v>
      </c>
      <c r="C5" s="209"/>
      <c r="D5" s="138">
        <f>6818.23</f>
        <v>6818.23</v>
      </c>
      <c r="E5" s="139">
        <f>B5+C5-D5</f>
        <v>32893.69</v>
      </c>
      <c r="F5" s="138">
        <v>3099</v>
      </c>
      <c r="G5" s="274">
        <f>4271.77+217.8</f>
        <v>4489.5700000000006</v>
      </c>
      <c r="H5" s="138">
        <f>ROUND((B5+C5)/12,2)</f>
        <v>3309.33</v>
      </c>
      <c r="I5" s="138">
        <f>B5+C5+F5+H5+G5</f>
        <v>50609.82</v>
      </c>
      <c r="J5" s="138">
        <f>ROUND((E5)*34.24%+F5*24.2%,2)+ROUND((G5+H5+D5)*29.88%,2)</f>
        <v>16380.36</v>
      </c>
      <c r="K5" s="138">
        <f>ROUND(I5*8.5%,0)</f>
        <v>4302</v>
      </c>
      <c r="L5" s="138">
        <f>I5+J5+K5</f>
        <v>71292.179999999993</v>
      </c>
      <c r="M5" s="141">
        <f>J5+K5</f>
        <v>20682.36</v>
      </c>
      <c r="N5" s="208" t="str">
        <f>A5</f>
        <v>EP8</v>
      </c>
      <c r="Q5" s="6"/>
      <c r="R5" s="95" t="s">
        <v>33</v>
      </c>
      <c r="S5" s="97">
        <v>0.34239999999999998</v>
      </c>
      <c r="T5" s="283">
        <v>0.29880000000000001</v>
      </c>
      <c r="U5" s="14"/>
      <c r="Y5" s="6"/>
    </row>
    <row r="6" spans="1:25" x14ac:dyDescent="0.2">
      <c r="A6" s="210" t="s">
        <v>0</v>
      </c>
      <c r="B6" s="211">
        <f>VLOOKUP($A6,'CCNL Ec 2022 Giur 2024'!$A$7:$G$38,7,FALSE)+_xlfn.XLOOKUP(A6,'IVC Nuova'!A:A,'IVC Nuova'!F:F,0,0)*12</f>
        <v>38611.919999999998</v>
      </c>
      <c r="C6" s="212"/>
      <c r="D6" s="143">
        <f>6818.23</f>
        <v>6818.23</v>
      </c>
      <c r="E6" s="144">
        <f t="shared" ref="E6:E35" si="0">B6+C6-D6</f>
        <v>31793.69</v>
      </c>
      <c r="F6" s="143">
        <v>3099</v>
      </c>
      <c r="G6" s="275">
        <f t="shared" ref="G6:G9" si="1">4271.77+217.8</f>
        <v>4489.5700000000006</v>
      </c>
      <c r="H6" s="143">
        <f t="shared" ref="H6:H35" si="2">ROUND((B6+C6)/12,2)</f>
        <v>3217.66</v>
      </c>
      <c r="I6" s="143">
        <f t="shared" ref="I6:I35" si="3">B6+C6+F6+H6+G6</f>
        <v>49418.15</v>
      </c>
      <c r="J6" s="143">
        <f t="shared" ref="J6:J12" si="4">ROUND((E6)*34.24%+F6*24.2%,2)+ROUND((G6+H6+D6)*29.88%,2)</f>
        <v>15976.330000000002</v>
      </c>
      <c r="K6" s="143">
        <f>ROUND(I6*8.5%,0)</f>
        <v>4201</v>
      </c>
      <c r="L6" s="143">
        <f>I6+J6+K6</f>
        <v>69595.48000000001</v>
      </c>
      <c r="M6" s="146">
        <f>J6+K6</f>
        <v>20177.330000000002</v>
      </c>
      <c r="N6" s="211" t="str">
        <f>A6</f>
        <v>EP7</v>
      </c>
      <c r="Q6" s="6"/>
      <c r="R6" s="96" t="s">
        <v>201</v>
      </c>
      <c r="S6" s="97">
        <v>0.24199999999999999</v>
      </c>
      <c r="T6" s="283"/>
      <c r="U6" s="88" t="s">
        <v>207</v>
      </c>
      <c r="Y6" s="6"/>
    </row>
    <row r="7" spans="1:25" x14ac:dyDescent="0.2">
      <c r="A7" s="213" t="s">
        <v>1</v>
      </c>
      <c r="B7" s="211">
        <f>VLOOKUP($A7,'CCNL Ec 2022 Giur 2024'!$A$7:$G$38,7,FALSE)+_xlfn.XLOOKUP(A7,'IVC Nuova'!A:A,'IVC Nuova'!F:F,0,0)*12</f>
        <v>37202.549999999996</v>
      </c>
      <c r="C7" s="212"/>
      <c r="D7" s="143">
        <f>6818.23</f>
        <v>6818.23</v>
      </c>
      <c r="E7" s="144">
        <f t="shared" si="0"/>
        <v>30384.319999999996</v>
      </c>
      <c r="F7" s="143">
        <v>3099</v>
      </c>
      <c r="G7" s="275">
        <f t="shared" si="1"/>
        <v>4489.5700000000006</v>
      </c>
      <c r="H7" s="143">
        <f t="shared" si="2"/>
        <v>3100.21</v>
      </c>
      <c r="I7" s="143">
        <f t="shared" si="3"/>
        <v>47891.329999999994</v>
      </c>
      <c r="J7" s="143">
        <f t="shared" si="4"/>
        <v>15458.66</v>
      </c>
      <c r="K7" s="143">
        <f>ROUND(I7*8.5%,0)</f>
        <v>4071</v>
      </c>
      <c r="L7" s="143">
        <f>I7+J7+K7</f>
        <v>67420.989999999991</v>
      </c>
      <c r="M7" s="146">
        <f>J7+K7</f>
        <v>19529.66</v>
      </c>
      <c r="N7" s="211" t="str">
        <f>A7</f>
        <v>EP6</v>
      </c>
      <c r="Q7" s="6"/>
      <c r="R7" s="96" t="s">
        <v>203</v>
      </c>
      <c r="S7" s="97">
        <v>0.29880000000000001</v>
      </c>
      <c r="T7" s="283"/>
      <c r="Y7" s="6"/>
    </row>
    <row r="8" spans="1:25" x14ac:dyDescent="0.2">
      <c r="A8" s="213" t="s">
        <v>2</v>
      </c>
      <c r="B8" s="211">
        <f>VLOOKUP($A8,'CCNL Ec 2022 Giur 2024'!$A$7:$G$38,7,FALSE)+_xlfn.XLOOKUP(A8,'IVC Nuova'!A:A,'IVC Nuova'!F:F,0,0)*12</f>
        <v>35852.65</v>
      </c>
      <c r="C8" s="212"/>
      <c r="D8" s="143">
        <f>6818.23</f>
        <v>6818.23</v>
      </c>
      <c r="E8" s="144">
        <f t="shared" si="0"/>
        <v>29034.420000000002</v>
      </c>
      <c r="F8" s="143">
        <v>3099</v>
      </c>
      <c r="G8" s="275">
        <f t="shared" si="1"/>
        <v>4489.5700000000006</v>
      </c>
      <c r="H8" s="143">
        <f t="shared" si="2"/>
        <v>2987.72</v>
      </c>
      <c r="I8" s="143">
        <f t="shared" si="3"/>
        <v>46428.94</v>
      </c>
      <c r="J8" s="143">
        <f t="shared" si="4"/>
        <v>14962.84</v>
      </c>
      <c r="K8" s="143">
        <f t="shared" ref="K8:K35" si="5">ROUND(I8*8.5%,0)</f>
        <v>3946</v>
      </c>
      <c r="L8" s="143">
        <f t="shared" ref="L8:L35" si="6">I8+J8+K8</f>
        <v>65337.78</v>
      </c>
      <c r="M8" s="146">
        <f t="shared" ref="M8:M35" si="7">J8+K8</f>
        <v>18908.84</v>
      </c>
      <c r="N8" s="211" t="s">
        <v>2</v>
      </c>
      <c r="Q8" s="6"/>
      <c r="R8" s="96" t="s">
        <v>202</v>
      </c>
      <c r="S8" s="97">
        <v>0.29880000000000001</v>
      </c>
      <c r="T8" s="283"/>
      <c r="Y8" s="6"/>
    </row>
    <row r="9" spans="1:25" x14ac:dyDescent="0.2">
      <c r="A9" s="210" t="s">
        <v>3</v>
      </c>
      <c r="B9" s="211">
        <f>VLOOKUP($A9,'CCNL Ec 2022 Giur 2024'!$A$7:$G$38,7,FALSE)+_xlfn.XLOOKUP(A9,'IVC Nuova'!A:A,'IVC Nuova'!F:F,0,0)*12</f>
        <v>34396.269999999997</v>
      </c>
      <c r="C9" s="212"/>
      <c r="D9" s="143">
        <f>6818.23</f>
        <v>6818.23</v>
      </c>
      <c r="E9" s="144">
        <f t="shared" si="0"/>
        <v>27578.039999999997</v>
      </c>
      <c r="F9" s="143">
        <v>3099</v>
      </c>
      <c r="G9" s="275">
        <f t="shared" si="1"/>
        <v>4489.5700000000006</v>
      </c>
      <c r="H9" s="143">
        <f t="shared" si="2"/>
        <v>2866.36</v>
      </c>
      <c r="I9" s="143">
        <f t="shared" si="3"/>
        <v>44851.199999999997</v>
      </c>
      <c r="J9" s="143">
        <f t="shared" si="4"/>
        <v>14427.92</v>
      </c>
      <c r="K9" s="143">
        <f t="shared" si="5"/>
        <v>3812</v>
      </c>
      <c r="L9" s="143">
        <f t="shared" si="6"/>
        <v>63091.119999999995</v>
      </c>
      <c r="M9" s="146">
        <f t="shared" si="7"/>
        <v>18239.919999999998</v>
      </c>
      <c r="N9" s="211" t="s">
        <v>3</v>
      </c>
      <c r="Q9" s="6"/>
      <c r="R9" s="96" t="s">
        <v>204</v>
      </c>
      <c r="S9" s="97">
        <v>0.29880000000000001</v>
      </c>
      <c r="T9" s="283"/>
      <c r="Y9" s="6"/>
    </row>
    <row r="10" spans="1:25" x14ac:dyDescent="0.2">
      <c r="A10" s="213" t="s">
        <v>4</v>
      </c>
      <c r="B10" s="211">
        <f>VLOOKUP($A10,'CCNL Ec 2022 Giur 2024'!$A$7:$G$38,7,FALSE)+_xlfn.XLOOKUP(A10,'IVC Nuova'!A:A,'IVC Nuova'!F:F,0,0)*12</f>
        <v>32012.379999999997</v>
      </c>
      <c r="C10" s="212"/>
      <c r="D10" s="143">
        <f>6682.26</f>
        <v>6682.26</v>
      </c>
      <c r="E10" s="144">
        <f t="shared" si="0"/>
        <v>25330.119999999995</v>
      </c>
      <c r="F10" s="143">
        <v>3099</v>
      </c>
      <c r="G10" s="143">
        <v>3577.2</v>
      </c>
      <c r="H10" s="143">
        <f t="shared" si="2"/>
        <v>2667.7</v>
      </c>
      <c r="I10" s="143">
        <f t="shared" si="3"/>
        <v>41356.279999999992</v>
      </c>
      <c r="J10" s="143">
        <f t="shared" si="4"/>
        <v>13285.63</v>
      </c>
      <c r="K10" s="143">
        <f t="shared" si="5"/>
        <v>3515</v>
      </c>
      <c r="L10" s="143">
        <f t="shared" si="6"/>
        <v>58156.909999999989</v>
      </c>
      <c r="M10" s="146">
        <f t="shared" si="7"/>
        <v>16800.629999999997</v>
      </c>
      <c r="N10" s="211" t="s">
        <v>4</v>
      </c>
      <c r="Q10" s="6"/>
      <c r="R10" s="96" t="s">
        <v>205</v>
      </c>
      <c r="S10" s="97">
        <v>8.5000000000000006E-2</v>
      </c>
      <c r="T10" s="97">
        <v>8.5000000000000006E-2</v>
      </c>
      <c r="Y10" s="6"/>
    </row>
    <row r="11" spans="1:25" x14ac:dyDescent="0.2">
      <c r="A11" s="213" t="s">
        <v>5</v>
      </c>
      <c r="B11" s="211">
        <f>VLOOKUP($A11,'CCNL Ec 2022 Giur 2024'!$A$7:$G$38,7,FALSE)+_xlfn.XLOOKUP(A11,'IVC Nuova'!A:A,'IVC Nuova'!F:F,0,0)*12</f>
        <v>30397.039999999997</v>
      </c>
      <c r="C11" s="212"/>
      <c r="D11" s="143">
        <f>6682.26</f>
        <v>6682.26</v>
      </c>
      <c r="E11" s="144">
        <f t="shared" si="0"/>
        <v>23714.78</v>
      </c>
      <c r="F11" s="143">
        <v>3099</v>
      </c>
      <c r="G11" s="143">
        <v>3577.2</v>
      </c>
      <c r="H11" s="143">
        <f t="shared" si="2"/>
        <v>2533.09</v>
      </c>
      <c r="I11" s="143">
        <f t="shared" si="3"/>
        <v>39606.329999999987</v>
      </c>
      <c r="J11" s="143">
        <f t="shared" si="4"/>
        <v>12692.31</v>
      </c>
      <c r="K11" s="143">
        <f t="shared" si="5"/>
        <v>3367</v>
      </c>
      <c r="L11" s="143">
        <f t="shared" si="6"/>
        <v>55665.639999999985</v>
      </c>
      <c r="M11" s="146">
        <f t="shared" si="7"/>
        <v>16059.31</v>
      </c>
      <c r="N11" s="211" t="s">
        <v>5</v>
      </c>
      <c r="Q11" s="6"/>
      <c r="Y11" s="6"/>
    </row>
    <row r="12" spans="1:25" ht="13.5" thickBot="1" x14ac:dyDescent="0.25">
      <c r="A12" s="214" t="s">
        <v>6</v>
      </c>
      <c r="B12" s="215">
        <f>VLOOKUP($A12,'CCNL Ec 2022 Giur 2024'!$A$7:$G$38,7,FALSE)+_xlfn.XLOOKUP(A12,'IVC Nuova'!A:A,'IVC Nuova'!F:F,0,0)*12</f>
        <v>28693.649999999998</v>
      </c>
      <c r="C12" s="216"/>
      <c r="D12" s="149">
        <f>6682.26</f>
        <v>6682.26</v>
      </c>
      <c r="E12" s="217">
        <f t="shared" si="0"/>
        <v>22011.39</v>
      </c>
      <c r="F12" s="149">
        <v>3099</v>
      </c>
      <c r="G12" s="149">
        <v>3577.2</v>
      </c>
      <c r="H12" s="149">
        <f t="shared" si="2"/>
        <v>2391.14</v>
      </c>
      <c r="I12" s="149">
        <f t="shared" si="3"/>
        <v>37760.99</v>
      </c>
      <c r="J12" s="149">
        <f t="shared" si="4"/>
        <v>12066.66</v>
      </c>
      <c r="K12" s="149">
        <f t="shared" si="5"/>
        <v>3210</v>
      </c>
      <c r="L12" s="149">
        <f t="shared" si="6"/>
        <v>53037.649999999994</v>
      </c>
      <c r="M12" s="152">
        <f t="shared" si="7"/>
        <v>15276.66</v>
      </c>
      <c r="N12" s="218" t="s">
        <v>6</v>
      </c>
      <c r="Q12" s="6"/>
      <c r="Y12" s="6"/>
    </row>
    <row r="13" spans="1:25" x14ac:dyDescent="0.2">
      <c r="A13" s="219" t="s">
        <v>44</v>
      </c>
      <c r="B13" s="220">
        <f>VLOOKUP($A13,'CCNL Ec 2022 Giur 2024'!$A$7:$G$38,7,FALSE)+_xlfn.XLOOKUP(A13,'IVC Nuova'!A:A,'IVC Nuova'!F:F,0,0)*12</f>
        <v>32665.38</v>
      </c>
      <c r="C13" s="221"/>
      <c r="D13" s="154">
        <f>6545.24</f>
        <v>6545.24</v>
      </c>
      <c r="E13" s="222">
        <f t="shared" si="0"/>
        <v>26120.14</v>
      </c>
      <c r="F13" s="154"/>
      <c r="G13" s="154">
        <v>3026.46</v>
      </c>
      <c r="H13" s="154">
        <f t="shared" si="2"/>
        <v>2722.12</v>
      </c>
      <c r="I13" s="154">
        <f t="shared" si="3"/>
        <v>38413.96</v>
      </c>
      <c r="J13" s="154">
        <f>ROUND((I13)*29.88%,2)</f>
        <v>11478.09</v>
      </c>
      <c r="K13" s="154">
        <f>ROUND(I13*8.5%,0)</f>
        <v>3265</v>
      </c>
      <c r="L13" s="154">
        <f>I13+J13+K13</f>
        <v>53157.05</v>
      </c>
      <c r="M13" s="158">
        <f>J13+K13</f>
        <v>14743.09</v>
      </c>
      <c r="N13" s="223" t="str">
        <f>A13</f>
        <v>D8</v>
      </c>
      <c r="Q13" s="6"/>
      <c r="Y13" s="6"/>
    </row>
    <row r="14" spans="1:25" x14ac:dyDescent="0.2">
      <c r="A14" s="224" t="s">
        <v>7</v>
      </c>
      <c r="B14" s="225">
        <f>VLOOKUP($A14,'CCNL Ec 2022 Giur 2024'!$A$7:$G$38,7,FALSE)+_xlfn.XLOOKUP(A14,'IVC Nuova'!A:A,'IVC Nuova'!F:F,0,0)*12</f>
        <v>31765.38</v>
      </c>
      <c r="C14" s="226"/>
      <c r="D14" s="160">
        <f t="shared" ref="D14:D20" si="8">6545.24</f>
        <v>6545.24</v>
      </c>
      <c r="E14" s="227">
        <f t="shared" si="0"/>
        <v>25220.14</v>
      </c>
      <c r="F14" s="160"/>
      <c r="G14" s="160">
        <v>3026.46</v>
      </c>
      <c r="H14" s="160">
        <f t="shared" si="2"/>
        <v>2647.12</v>
      </c>
      <c r="I14" s="160">
        <f t="shared" si="3"/>
        <v>37438.959999999999</v>
      </c>
      <c r="J14" s="160">
        <f t="shared" ref="J14:J35" si="9">ROUND((I14)*29.88%,2)</f>
        <v>11186.76</v>
      </c>
      <c r="K14" s="160">
        <f>ROUND(I14*8.5%,0)</f>
        <v>3182</v>
      </c>
      <c r="L14" s="160">
        <f>I14+J14+K14</f>
        <v>51807.72</v>
      </c>
      <c r="M14" s="164">
        <f>J14+K14</f>
        <v>14368.76</v>
      </c>
      <c r="N14" s="228" t="str">
        <f>A14</f>
        <v>D7</v>
      </c>
      <c r="Q14" s="6"/>
      <c r="Y14" s="6"/>
    </row>
    <row r="15" spans="1:25" x14ac:dyDescent="0.2">
      <c r="A15" s="229" t="s">
        <v>8</v>
      </c>
      <c r="B15" s="225">
        <f>VLOOKUP($A15,'CCNL Ec 2022 Giur 2024'!$A$7:$G$38,7,FALSE)+_xlfn.XLOOKUP(A15,'IVC Nuova'!A:A,'IVC Nuova'!F:F,0,0)*12</f>
        <v>30709</v>
      </c>
      <c r="C15" s="226"/>
      <c r="D15" s="160">
        <f t="shared" si="8"/>
        <v>6545.24</v>
      </c>
      <c r="E15" s="227">
        <f t="shared" si="0"/>
        <v>24163.760000000002</v>
      </c>
      <c r="F15" s="160"/>
      <c r="G15" s="160">
        <v>3026.46</v>
      </c>
      <c r="H15" s="160">
        <f t="shared" si="2"/>
        <v>2559.08</v>
      </c>
      <c r="I15" s="160">
        <f t="shared" si="3"/>
        <v>36294.54</v>
      </c>
      <c r="J15" s="160">
        <f t="shared" si="9"/>
        <v>10844.81</v>
      </c>
      <c r="K15" s="160">
        <f>ROUND(I15*8.5%,0)</f>
        <v>3085</v>
      </c>
      <c r="L15" s="160">
        <f>I15+J15+K15</f>
        <v>50224.35</v>
      </c>
      <c r="M15" s="164">
        <f>J15+K15</f>
        <v>13929.81</v>
      </c>
      <c r="N15" s="228" t="str">
        <f>A15</f>
        <v>D6</v>
      </c>
      <c r="Q15" s="6"/>
      <c r="Y15" s="6"/>
    </row>
    <row r="16" spans="1:25" x14ac:dyDescent="0.2">
      <c r="A16" s="229" t="s">
        <v>9</v>
      </c>
      <c r="B16" s="225">
        <f>VLOOKUP($A16,'CCNL Ec 2022 Giur 2024'!$A$7:$G$38,7,FALSE)+_xlfn.XLOOKUP(A16,'IVC Nuova'!A:A,'IVC Nuova'!F:F,0,0)*12</f>
        <v>29695.02</v>
      </c>
      <c r="C16" s="226"/>
      <c r="D16" s="160">
        <f t="shared" si="8"/>
        <v>6545.24</v>
      </c>
      <c r="E16" s="227">
        <f t="shared" si="0"/>
        <v>23149.78</v>
      </c>
      <c r="F16" s="160"/>
      <c r="G16" s="160">
        <v>3026.46</v>
      </c>
      <c r="H16" s="160">
        <f t="shared" si="2"/>
        <v>2474.59</v>
      </c>
      <c r="I16" s="160">
        <f t="shared" si="3"/>
        <v>35196.07</v>
      </c>
      <c r="J16" s="160">
        <f t="shared" si="9"/>
        <v>10516.59</v>
      </c>
      <c r="K16" s="160">
        <f t="shared" si="5"/>
        <v>2992</v>
      </c>
      <c r="L16" s="160">
        <f t="shared" si="6"/>
        <v>48704.66</v>
      </c>
      <c r="M16" s="164">
        <f t="shared" si="7"/>
        <v>13508.59</v>
      </c>
      <c r="N16" s="228" t="s">
        <v>9</v>
      </c>
      <c r="Q16" s="6"/>
      <c r="Y16" s="6"/>
    </row>
    <row r="17" spans="1:25" x14ac:dyDescent="0.2">
      <c r="A17" s="229" t="s">
        <v>10</v>
      </c>
      <c r="B17" s="225">
        <f>VLOOKUP($A17,'CCNL Ec 2022 Giur 2024'!$A$7:$G$38,7,FALSE)+_xlfn.XLOOKUP(A17,'IVC Nuova'!A:A,'IVC Nuova'!F:F,0,0)*12</f>
        <v>28726.799999999999</v>
      </c>
      <c r="C17" s="226"/>
      <c r="D17" s="160">
        <f t="shared" si="8"/>
        <v>6545.24</v>
      </c>
      <c r="E17" s="227">
        <f t="shared" si="0"/>
        <v>22181.559999999998</v>
      </c>
      <c r="F17" s="160"/>
      <c r="G17" s="160">
        <v>3026.46</v>
      </c>
      <c r="H17" s="160">
        <f t="shared" si="2"/>
        <v>2393.9</v>
      </c>
      <c r="I17" s="160">
        <f t="shared" si="3"/>
        <v>34147.160000000003</v>
      </c>
      <c r="J17" s="160">
        <f t="shared" si="9"/>
        <v>10203.17</v>
      </c>
      <c r="K17" s="160">
        <f t="shared" si="5"/>
        <v>2903</v>
      </c>
      <c r="L17" s="160">
        <f t="shared" si="6"/>
        <v>47253.33</v>
      </c>
      <c r="M17" s="164">
        <f t="shared" si="7"/>
        <v>13106.17</v>
      </c>
      <c r="N17" s="228" t="s">
        <v>10</v>
      </c>
      <c r="Q17" s="6"/>
      <c r="Y17" s="6"/>
    </row>
    <row r="18" spans="1:25" s="6" customFormat="1" x14ac:dyDescent="0.2">
      <c r="A18" s="229" t="s">
        <v>11</v>
      </c>
      <c r="B18" s="225">
        <f>VLOOKUP($A18,'CCNL Ec 2022 Giur 2024'!$A$7:$G$38,7,FALSE)+_xlfn.XLOOKUP(A18,'IVC Nuova'!A:A,'IVC Nuova'!F:F,0,0)*12</f>
        <v>27415.25</v>
      </c>
      <c r="C18" s="226"/>
      <c r="D18" s="160">
        <f t="shared" si="8"/>
        <v>6545.24</v>
      </c>
      <c r="E18" s="227">
        <f t="shared" si="0"/>
        <v>20870.010000000002</v>
      </c>
      <c r="F18" s="160"/>
      <c r="G18" s="160">
        <v>3026.46</v>
      </c>
      <c r="H18" s="160">
        <f t="shared" si="2"/>
        <v>2284.6</v>
      </c>
      <c r="I18" s="160">
        <f t="shared" si="3"/>
        <v>32726.309999999998</v>
      </c>
      <c r="J18" s="160">
        <f t="shared" si="9"/>
        <v>9778.6200000000008</v>
      </c>
      <c r="K18" s="160">
        <f t="shared" si="5"/>
        <v>2782</v>
      </c>
      <c r="L18" s="160">
        <f t="shared" si="6"/>
        <v>45286.93</v>
      </c>
      <c r="M18" s="164">
        <f t="shared" si="7"/>
        <v>12560.62</v>
      </c>
      <c r="N18" s="228" t="s">
        <v>11</v>
      </c>
    </row>
    <row r="19" spans="1:25" s="6" customFormat="1" x14ac:dyDescent="0.2">
      <c r="A19" s="229" t="s">
        <v>12</v>
      </c>
      <c r="B19" s="225">
        <f>VLOOKUP($A19,'CCNL Ec 2022 Giur 2024'!$A$7:$G$38,7,FALSE)+_xlfn.XLOOKUP(A19,'IVC Nuova'!A:A,'IVC Nuova'!F:F,0,0)*12</f>
        <v>26414.68</v>
      </c>
      <c r="C19" s="226"/>
      <c r="D19" s="160">
        <f t="shared" si="8"/>
        <v>6545.24</v>
      </c>
      <c r="E19" s="227">
        <f t="shared" si="0"/>
        <v>19869.440000000002</v>
      </c>
      <c r="F19" s="160"/>
      <c r="G19" s="160">
        <v>3026.46</v>
      </c>
      <c r="H19" s="160">
        <f t="shared" si="2"/>
        <v>2201.2199999999998</v>
      </c>
      <c r="I19" s="160">
        <f t="shared" si="3"/>
        <v>31642.36</v>
      </c>
      <c r="J19" s="160">
        <f t="shared" si="9"/>
        <v>9454.74</v>
      </c>
      <c r="K19" s="160">
        <f t="shared" si="5"/>
        <v>2690</v>
      </c>
      <c r="L19" s="160">
        <f t="shared" si="6"/>
        <v>43787.1</v>
      </c>
      <c r="M19" s="164">
        <f t="shared" si="7"/>
        <v>12144.74</v>
      </c>
      <c r="N19" s="228" t="s">
        <v>12</v>
      </c>
    </row>
    <row r="20" spans="1:25" s="6" customFormat="1" ht="13.5" thickBot="1" x14ac:dyDescent="0.25">
      <c r="A20" s="230" t="s">
        <v>13</v>
      </c>
      <c r="B20" s="231">
        <f>VLOOKUP($A20,'CCNL Ec 2022 Giur 2024'!$A$7:$G$38,7,FALSE)+_xlfn.XLOOKUP(A20,'IVC Nuova'!A:A,'IVC Nuova'!F:F,0,0)*12</f>
        <v>25505.79</v>
      </c>
      <c r="C20" s="232"/>
      <c r="D20" s="166">
        <f t="shared" si="8"/>
        <v>6545.24</v>
      </c>
      <c r="E20" s="233">
        <f t="shared" si="0"/>
        <v>18960.550000000003</v>
      </c>
      <c r="F20" s="166"/>
      <c r="G20" s="166">
        <v>3026.46</v>
      </c>
      <c r="H20" s="166">
        <f t="shared" si="2"/>
        <v>2125.48</v>
      </c>
      <c r="I20" s="166">
        <f t="shared" si="3"/>
        <v>30657.73</v>
      </c>
      <c r="J20" s="166">
        <f t="shared" si="9"/>
        <v>9160.5300000000007</v>
      </c>
      <c r="K20" s="166">
        <f t="shared" si="5"/>
        <v>2606</v>
      </c>
      <c r="L20" s="166">
        <f t="shared" si="6"/>
        <v>42424.26</v>
      </c>
      <c r="M20" s="170">
        <f t="shared" si="7"/>
        <v>11766.53</v>
      </c>
      <c r="N20" s="234" t="s">
        <v>13</v>
      </c>
    </row>
    <row r="21" spans="1:25" s="6" customFormat="1" x14ac:dyDescent="0.2">
      <c r="A21" s="235" t="s">
        <v>45</v>
      </c>
      <c r="B21" s="236">
        <f>VLOOKUP($A21,'CCNL Ec 2022 Giur 2024'!$A$7:$G$38,7,FALSE)+_xlfn.XLOOKUP(A21,'IVC Nuova'!A:A,'IVC Nuova'!F:F,0,0)*12</f>
        <v>27179.899999999998</v>
      </c>
      <c r="C21" s="237"/>
      <c r="D21" s="172">
        <f>6450.08</f>
        <v>6450.08</v>
      </c>
      <c r="E21" s="238">
        <f t="shared" si="0"/>
        <v>20729.82</v>
      </c>
      <c r="F21" s="172"/>
      <c r="G21" s="172">
        <v>2187.17</v>
      </c>
      <c r="H21" s="172">
        <f t="shared" si="2"/>
        <v>2264.9899999999998</v>
      </c>
      <c r="I21" s="172">
        <f t="shared" si="3"/>
        <v>31632.059999999998</v>
      </c>
      <c r="J21" s="172">
        <f t="shared" si="9"/>
        <v>9451.66</v>
      </c>
      <c r="K21" s="172">
        <f>ROUND(I21*8.5%,0)</f>
        <v>2689</v>
      </c>
      <c r="L21" s="172">
        <f>I21+J21+K21</f>
        <v>43772.72</v>
      </c>
      <c r="M21" s="176">
        <f>J21+K21</f>
        <v>12140.66</v>
      </c>
      <c r="N21" s="239" t="str">
        <f>A21</f>
        <v>C8</v>
      </c>
    </row>
    <row r="22" spans="1:25" s="6" customFormat="1" x14ac:dyDescent="0.2">
      <c r="A22" s="240" t="s">
        <v>14</v>
      </c>
      <c r="B22" s="241">
        <f>VLOOKUP($A22,'CCNL Ec 2022 Giur 2024'!$A$7:$G$38,7,FALSE)+_xlfn.XLOOKUP(A22,'IVC Nuova'!A:A,'IVC Nuova'!F:F,0,0)*12</f>
        <v>26433.059999999998</v>
      </c>
      <c r="C22" s="242"/>
      <c r="D22" s="178">
        <f>6450.08</f>
        <v>6450.08</v>
      </c>
      <c r="E22" s="243">
        <f t="shared" si="0"/>
        <v>19982.979999999996</v>
      </c>
      <c r="F22" s="178"/>
      <c r="G22" s="178">
        <v>2187.17</v>
      </c>
      <c r="H22" s="178">
        <f t="shared" si="2"/>
        <v>2202.7600000000002</v>
      </c>
      <c r="I22" s="178">
        <f t="shared" si="3"/>
        <v>30822.989999999998</v>
      </c>
      <c r="J22" s="178">
        <f t="shared" si="9"/>
        <v>9209.91</v>
      </c>
      <c r="K22" s="178">
        <f>ROUND(I22*8.5%,0)</f>
        <v>2620</v>
      </c>
      <c r="L22" s="178">
        <f>I22+J22+K22</f>
        <v>42652.899999999994</v>
      </c>
      <c r="M22" s="182">
        <f>J22+K22</f>
        <v>11829.91</v>
      </c>
      <c r="N22" s="244" t="str">
        <f>A22</f>
        <v>C7</v>
      </c>
    </row>
    <row r="23" spans="1:25" s="6" customFormat="1" x14ac:dyDescent="0.2">
      <c r="A23" s="245" t="s">
        <v>15</v>
      </c>
      <c r="B23" s="241">
        <f>VLOOKUP($A23,'CCNL Ec 2022 Giur 2024'!$A$7:$G$38,7,FALSE)+_xlfn.XLOOKUP(A23,'IVC Nuova'!A:A,'IVC Nuova'!F:F,0,0)*12</f>
        <v>25675.559999999998</v>
      </c>
      <c r="C23" s="242"/>
      <c r="D23" s="178">
        <f>6450.08</f>
        <v>6450.08</v>
      </c>
      <c r="E23" s="243">
        <f t="shared" si="0"/>
        <v>19225.479999999996</v>
      </c>
      <c r="F23" s="178"/>
      <c r="G23" s="178">
        <v>2187.17</v>
      </c>
      <c r="H23" s="178">
        <f t="shared" si="2"/>
        <v>2139.63</v>
      </c>
      <c r="I23" s="178">
        <f t="shared" si="3"/>
        <v>30002.36</v>
      </c>
      <c r="J23" s="178">
        <f t="shared" si="9"/>
        <v>8964.7099999999991</v>
      </c>
      <c r="K23" s="178">
        <f>ROUND(I23*8.5%,0)</f>
        <v>2550</v>
      </c>
      <c r="L23" s="178">
        <f>I23+J23+K23</f>
        <v>41517.07</v>
      </c>
      <c r="M23" s="182">
        <f>J23+K23</f>
        <v>11514.71</v>
      </c>
      <c r="N23" s="244" t="str">
        <f>A23</f>
        <v>C6</v>
      </c>
    </row>
    <row r="24" spans="1:25" s="6" customFormat="1" x14ac:dyDescent="0.2">
      <c r="A24" s="245" t="s">
        <v>16</v>
      </c>
      <c r="B24" s="241">
        <f>VLOOKUP($A24,'CCNL Ec 2022 Giur 2024'!$A$7:$G$38,7,FALSE)+_xlfn.XLOOKUP(A24,'IVC Nuova'!A:A,'IVC Nuova'!F:F,0,0)*12</f>
        <v>24935.759999999998</v>
      </c>
      <c r="C24" s="242"/>
      <c r="D24" s="178">
        <f>6450.08</f>
        <v>6450.08</v>
      </c>
      <c r="E24" s="243">
        <f t="shared" si="0"/>
        <v>18485.68</v>
      </c>
      <c r="F24" s="178"/>
      <c r="G24" s="178">
        <v>2187.17</v>
      </c>
      <c r="H24" s="178">
        <f>ROUND((B24+C24)/12,2)</f>
        <v>2077.98</v>
      </c>
      <c r="I24" s="178">
        <f t="shared" si="3"/>
        <v>29200.909999999996</v>
      </c>
      <c r="J24" s="178">
        <f t="shared" si="9"/>
        <v>8725.23</v>
      </c>
      <c r="K24" s="178">
        <f t="shared" si="5"/>
        <v>2482</v>
      </c>
      <c r="L24" s="178">
        <f>I24+J24+K24</f>
        <v>40408.14</v>
      </c>
      <c r="M24" s="182">
        <f t="shared" si="7"/>
        <v>11207.23</v>
      </c>
      <c r="N24" s="244" t="s">
        <v>16</v>
      </c>
    </row>
    <row r="25" spans="1:25" s="6" customFormat="1" x14ac:dyDescent="0.2">
      <c r="A25" s="240" t="s">
        <v>17</v>
      </c>
      <c r="B25" s="241">
        <f>VLOOKUP($A25,'CCNL Ec 2022 Giur 2024'!$A$7:$G$38,7,FALSE)+_xlfn.XLOOKUP(A25,'IVC Nuova'!A:A,'IVC Nuova'!F:F,0,0)*12</f>
        <v>24236.519999999997</v>
      </c>
      <c r="C25" s="242"/>
      <c r="D25" s="178">
        <f>6450.08</f>
        <v>6450.08</v>
      </c>
      <c r="E25" s="243">
        <f t="shared" si="0"/>
        <v>17786.439999999995</v>
      </c>
      <c r="F25" s="178"/>
      <c r="G25" s="178">
        <v>2187.17</v>
      </c>
      <c r="H25" s="178">
        <f t="shared" si="2"/>
        <v>2019.71</v>
      </c>
      <c r="I25" s="178">
        <f t="shared" si="3"/>
        <v>28443.399999999994</v>
      </c>
      <c r="J25" s="178">
        <f t="shared" si="9"/>
        <v>8498.89</v>
      </c>
      <c r="K25" s="178">
        <f t="shared" si="5"/>
        <v>2418</v>
      </c>
      <c r="L25" s="178">
        <f t="shared" si="6"/>
        <v>39360.289999999994</v>
      </c>
      <c r="M25" s="182">
        <f t="shared" si="7"/>
        <v>10916.89</v>
      </c>
      <c r="N25" s="244" t="s">
        <v>17</v>
      </c>
    </row>
    <row r="26" spans="1:25" s="6" customFormat="1" x14ac:dyDescent="0.2">
      <c r="A26" s="245" t="s">
        <v>18</v>
      </c>
      <c r="B26" s="241">
        <f>VLOOKUP($A26,'CCNL Ec 2022 Giur 2024'!$A$7:$G$38,7,FALSE)+_xlfn.XLOOKUP(A26,'IVC Nuova'!A:A,'IVC Nuova'!F:F,0,0)*12</f>
        <v>23158.44</v>
      </c>
      <c r="C26" s="242"/>
      <c r="D26" s="178">
        <f>6372.64</f>
        <v>6372.64</v>
      </c>
      <c r="E26" s="243">
        <f t="shared" si="0"/>
        <v>16785.8</v>
      </c>
      <c r="F26" s="178"/>
      <c r="G26" s="178">
        <v>2187.17</v>
      </c>
      <c r="H26" s="178">
        <f t="shared" si="2"/>
        <v>1929.87</v>
      </c>
      <c r="I26" s="178">
        <f t="shared" si="3"/>
        <v>27275.479999999996</v>
      </c>
      <c r="J26" s="178">
        <f t="shared" si="9"/>
        <v>8149.91</v>
      </c>
      <c r="K26" s="178">
        <f t="shared" si="5"/>
        <v>2318</v>
      </c>
      <c r="L26" s="178">
        <f t="shared" si="6"/>
        <v>37743.39</v>
      </c>
      <c r="M26" s="182">
        <f t="shared" si="7"/>
        <v>10467.91</v>
      </c>
      <c r="N26" s="244" t="s">
        <v>18</v>
      </c>
    </row>
    <row r="27" spans="1:25" s="6" customFormat="1" x14ac:dyDescent="0.2">
      <c r="A27" s="245" t="s">
        <v>19</v>
      </c>
      <c r="B27" s="241">
        <f>VLOOKUP($A27,'CCNL Ec 2022 Giur 2024'!$A$7:$G$38,7,FALSE)+_xlfn.XLOOKUP(A27,'IVC Nuova'!A:A,'IVC Nuova'!F:F,0,0)*12</f>
        <v>22358.039999999997</v>
      </c>
      <c r="C27" s="242"/>
      <c r="D27" s="178">
        <f>6372.64</f>
        <v>6372.64</v>
      </c>
      <c r="E27" s="243">
        <f t="shared" si="0"/>
        <v>15985.399999999998</v>
      </c>
      <c r="F27" s="178"/>
      <c r="G27" s="178">
        <v>2187.17</v>
      </c>
      <c r="H27" s="178">
        <f t="shared" si="2"/>
        <v>1863.17</v>
      </c>
      <c r="I27" s="178">
        <f t="shared" si="3"/>
        <v>26408.379999999997</v>
      </c>
      <c r="J27" s="178">
        <f t="shared" si="9"/>
        <v>7890.82</v>
      </c>
      <c r="K27" s="178">
        <f t="shared" si="5"/>
        <v>2245</v>
      </c>
      <c r="L27" s="178">
        <f t="shared" si="6"/>
        <v>36544.199999999997</v>
      </c>
      <c r="M27" s="182">
        <f t="shared" si="7"/>
        <v>10135.82</v>
      </c>
      <c r="N27" s="244" t="s">
        <v>19</v>
      </c>
      <c r="P27" s="6">
        <v>117.12</v>
      </c>
      <c r="Q27" s="6">
        <f>P27*12</f>
        <v>1405.44</v>
      </c>
      <c r="R27" s="6">
        <f>B27+Q27</f>
        <v>23763.479999999996</v>
      </c>
    </row>
    <row r="28" spans="1:25" s="6" customFormat="1" ht="13.5" thickBot="1" x14ac:dyDescent="0.25">
      <c r="A28" s="246" t="s">
        <v>20</v>
      </c>
      <c r="B28" s="247">
        <f>VLOOKUP($A28,'CCNL Ec 2022 Giur 2024'!$A$7:$G$38,7,FALSE)+_xlfn.XLOOKUP(A28,'IVC Nuova'!A:A,'IVC Nuova'!F:F,0,0)*12</f>
        <v>21972.04</v>
      </c>
      <c r="C28" s="248"/>
      <c r="D28" s="184">
        <f>6372.64</f>
        <v>6372.64</v>
      </c>
      <c r="E28" s="249">
        <f t="shared" si="0"/>
        <v>15599.400000000001</v>
      </c>
      <c r="F28" s="184"/>
      <c r="G28" s="184">
        <v>2187.17</v>
      </c>
      <c r="H28" s="184">
        <f t="shared" si="2"/>
        <v>1831</v>
      </c>
      <c r="I28" s="184">
        <f t="shared" si="3"/>
        <v>25990.21</v>
      </c>
      <c r="J28" s="184">
        <f t="shared" si="9"/>
        <v>7765.87</v>
      </c>
      <c r="K28" s="184">
        <f t="shared" si="5"/>
        <v>2209</v>
      </c>
      <c r="L28" s="184">
        <f t="shared" si="6"/>
        <v>35965.08</v>
      </c>
      <c r="M28" s="188">
        <f t="shared" si="7"/>
        <v>9974.869999999999</v>
      </c>
      <c r="N28" s="250" t="s">
        <v>20</v>
      </c>
    </row>
    <row r="29" spans="1:25" s="6" customFormat="1" x14ac:dyDescent="0.2">
      <c r="A29" s="251" t="s">
        <v>31</v>
      </c>
      <c r="B29" s="252">
        <f>VLOOKUP($A29,'CCNL Ec 2022 Giur 2024'!$A$7:$G$38,7,FALSE)+_xlfn.XLOOKUP(A29,'IVC Nuova'!A:A,'IVC Nuova'!F:F,0,0)*12</f>
        <v>24270.04</v>
      </c>
      <c r="C29" s="253"/>
      <c r="D29" s="190">
        <f>6332.96</f>
        <v>6332.96</v>
      </c>
      <c r="E29" s="254">
        <f t="shared" si="0"/>
        <v>17937.080000000002</v>
      </c>
      <c r="F29" s="190"/>
      <c r="G29" s="190">
        <v>1646.36</v>
      </c>
      <c r="H29" s="190">
        <f t="shared" si="2"/>
        <v>2022.5</v>
      </c>
      <c r="I29" s="190">
        <f t="shared" si="3"/>
        <v>27938.9</v>
      </c>
      <c r="J29" s="190">
        <f t="shared" si="9"/>
        <v>8348.14</v>
      </c>
      <c r="K29" s="190">
        <f>ROUND(I29*8.5%,0)</f>
        <v>2375</v>
      </c>
      <c r="L29" s="190">
        <f>I29+J29+K29</f>
        <v>38662.04</v>
      </c>
      <c r="M29" s="194">
        <f>J29+K29</f>
        <v>10723.14</v>
      </c>
      <c r="N29" s="255" t="str">
        <f>A29</f>
        <v>B7</v>
      </c>
    </row>
    <row r="30" spans="1:25" s="6" customFormat="1" ht="12" customHeight="1" x14ac:dyDescent="0.2">
      <c r="A30" s="256" t="s">
        <v>21</v>
      </c>
      <c r="B30" s="257">
        <f>VLOOKUP($A30,'CCNL Ec 2022 Giur 2024'!$A$7:$G$38,7,FALSE)+_xlfn.XLOOKUP(A30,'IVC Nuova'!A:A,'IVC Nuova'!F:F,0,0)*12</f>
        <v>23718.720000000001</v>
      </c>
      <c r="C30" s="258"/>
      <c r="D30" s="196">
        <f>6332.96</f>
        <v>6332.96</v>
      </c>
      <c r="E30" s="259">
        <f t="shared" si="0"/>
        <v>17385.760000000002</v>
      </c>
      <c r="F30" s="196"/>
      <c r="G30" s="196">
        <v>1646.36</v>
      </c>
      <c r="H30" s="196">
        <f t="shared" si="2"/>
        <v>1976.56</v>
      </c>
      <c r="I30" s="196">
        <f t="shared" si="3"/>
        <v>27341.640000000003</v>
      </c>
      <c r="J30" s="196">
        <f t="shared" si="9"/>
        <v>8169.68</v>
      </c>
      <c r="K30" s="196">
        <f>ROUND(I30*8.5%,0)</f>
        <v>2324</v>
      </c>
      <c r="L30" s="196">
        <f>I30+J30+K30</f>
        <v>37835.320000000007</v>
      </c>
      <c r="M30" s="200">
        <f>J30+K30</f>
        <v>10493.68</v>
      </c>
      <c r="N30" s="260" t="str">
        <f>A30</f>
        <v>B6</v>
      </c>
    </row>
    <row r="31" spans="1:25" s="6" customFormat="1" ht="12" customHeight="1" x14ac:dyDescent="0.2">
      <c r="A31" s="256" t="s">
        <v>22</v>
      </c>
      <c r="B31" s="257">
        <f>VLOOKUP($A31,'CCNL Ec 2022 Giur 2024'!$A$7:$G$38,7,FALSE)+_xlfn.XLOOKUP(A31,'IVC Nuova'!A:A,'IVC Nuova'!F:F,0,0)*12</f>
        <v>22923.539999999997</v>
      </c>
      <c r="C31" s="258"/>
      <c r="D31" s="196">
        <f>6332.96</f>
        <v>6332.96</v>
      </c>
      <c r="E31" s="259">
        <f t="shared" si="0"/>
        <v>16590.579999999998</v>
      </c>
      <c r="F31" s="196"/>
      <c r="G31" s="196">
        <v>1646.36</v>
      </c>
      <c r="H31" s="196">
        <f t="shared" si="2"/>
        <v>1910.3</v>
      </c>
      <c r="I31" s="196">
        <f t="shared" si="3"/>
        <v>26480.199999999997</v>
      </c>
      <c r="J31" s="196">
        <f t="shared" si="9"/>
        <v>7912.28</v>
      </c>
      <c r="K31" s="196">
        <f>ROUND(I31*8.5%,0)</f>
        <v>2251</v>
      </c>
      <c r="L31" s="196">
        <f>I31+J31+K31</f>
        <v>36643.479999999996</v>
      </c>
      <c r="M31" s="200">
        <f>J31+K31</f>
        <v>10163.279999999999</v>
      </c>
      <c r="N31" s="260" t="str">
        <f>A31</f>
        <v>B5</v>
      </c>
    </row>
    <row r="32" spans="1:25" s="6" customFormat="1" x14ac:dyDescent="0.2">
      <c r="A32" s="256" t="s">
        <v>23</v>
      </c>
      <c r="B32" s="257">
        <f>VLOOKUP($A32,'CCNL Ec 2022 Giur 2024'!$A$7:$G$38,7,FALSE)+_xlfn.XLOOKUP(A32,'IVC Nuova'!A:A,'IVC Nuova'!F:F,0,0)*12</f>
        <v>22152.400000000001</v>
      </c>
      <c r="C32" s="258"/>
      <c r="D32" s="196">
        <f>6332.96</f>
        <v>6332.96</v>
      </c>
      <c r="E32" s="259">
        <f t="shared" si="0"/>
        <v>15819.440000000002</v>
      </c>
      <c r="F32" s="196"/>
      <c r="G32" s="196">
        <v>1646.36</v>
      </c>
      <c r="H32" s="196">
        <f t="shared" si="2"/>
        <v>1846.03</v>
      </c>
      <c r="I32" s="196">
        <f t="shared" si="3"/>
        <v>25644.79</v>
      </c>
      <c r="J32" s="196">
        <f t="shared" si="9"/>
        <v>7662.66</v>
      </c>
      <c r="K32" s="196">
        <f t="shared" si="5"/>
        <v>2180</v>
      </c>
      <c r="L32" s="196">
        <f t="shared" si="6"/>
        <v>35487.449999999997</v>
      </c>
      <c r="M32" s="200">
        <f t="shared" si="7"/>
        <v>9842.66</v>
      </c>
      <c r="N32" s="260" t="s">
        <v>23</v>
      </c>
    </row>
    <row r="33" spans="1:17" s="6" customFormat="1" x14ac:dyDescent="0.2">
      <c r="A33" s="261" t="s">
        <v>24</v>
      </c>
      <c r="B33" s="257">
        <f>VLOOKUP($A33,'CCNL Ec 2022 Giur 2024'!$A$7:$G$38,7,FALSE)+_xlfn.XLOOKUP(A33,'IVC Nuova'!A:A,'IVC Nuova'!F:F,0,0)*12</f>
        <v>21306.79</v>
      </c>
      <c r="C33" s="258"/>
      <c r="D33" s="196">
        <f>6332.96</f>
        <v>6332.96</v>
      </c>
      <c r="E33" s="259">
        <f t="shared" si="0"/>
        <v>14973.830000000002</v>
      </c>
      <c r="F33" s="196"/>
      <c r="G33" s="196">
        <v>1646.36</v>
      </c>
      <c r="H33" s="196">
        <f t="shared" si="2"/>
        <v>1775.57</v>
      </c>
      <c r="I33" s="196">
        <f t="shared" si="3"/>
        <v>24728.720000000001</v>
      </c>
      <c r="J33" s="196">
        <f t="shared" si="9"/>
        <v>7388.94</v>
      </c>
      <c r="K33" s="196">
        <f t="shared" si="5"/>
        <v>2102</v>
      </c>
      <c r="L33" s="196">
        <f t="shared" si="6"/>
        <v>34219.660000000003</v>
      </c>
      <c r="M33" s="200">
        <f t="shared" si="7"/>
        <v>9490.9399999999987</v>
      </c>
      <c r="N33" s="260" t="s">
        <v>24</v>
      </c>
      <c r="Q33" s="84"/>
    </row>
    <row r="34" spans="1:17" s="6" customFormat="1" x14ac:dyDescent="0.2">
      <c r="A34" s="256" t="s">
        <v>25</v>
      </c>
      <c r="B34" s="257">
        <f>VLOOKUP($A34,'CCNL Ec 2022 Giur 2024'!$A$7:$G$38,7,FALSE)+_xlfn.XLOOKUP(A34,'IVC Nuova'!A:A,'IVC Nuova'!F:F,0,0)*12</f>
        <v>20501.830000000002</v>
      </c>
      <c r="C34" s="258"/>
      <c r="D34" s="196">
        <f>6291.14</f>
        <v>6291.14</v>
      </c>
      <c r="E34" s="259">
        <f t="shared" si="0"/>
        <v>14210.690000000002</v>
      </c>
      <c r="F34" s="196"/>
      <c r="G34" s="196">
        <v>1646.36</v>
      </c>
      <c r="H34" s="196">
        <f t="shared" si="2"/>
        <v>1708.49</v>
      </c>
      <c r="I34" s="196">
        <f t="shared" si="3"/>
        <v>23856.680000000004</v>
      </c>
      <c r="J34" s="196">
        <f t="shared" si="9"/>
        <v>7128.38</v>
      </c>
      <c r="K34" s="196">
        <f t="shared" si="5"/>
        <v>2028</v>
      </c>
      <c r="L34" s="196">
        <f t="shared" si="6"/>
        <v>33013.060000000005</v>
      </c>
      <c r="M34" s="200">
        <f t="shared" si="7"/>
        <v>9156.380000000001</v>
      </c>
      <c r="N34" s="260" t="s">
        <v>25</v>
      </c>
    </row>
    <row r="35" spans="1:17" s="6" customFormat="1" ht="13.5" thickBot="1" x14ac:dyDescent="0.25">
      <c r="A35" s="262" t="s">
        <v>26</v>
      </c>
      <c r="B35" s="263">
        <f>VLOOKUP($A35,'CCNL Ec 2022 Giur 2024'!$A$7:$G$38,7,FALSE)+_xlfn.XLOOKUP(A35,'IVC Nuova'!A:A,'IVC Nuova'!F:F,0,0)*12</f>
        <v>19414.099999999999</v>
      </c>
      <c r="C35" s="264"/>
      <c r="D35" s="202">
        <f>6236.52</f>
        <v>6236.52</v>
      </c>
      <c r="E35" s="265">
        <f t="shared" si="0"/>
        <v>13177.579999999998</v>
      </c>
      <c r="F35" s="202"/>
      <c r="G35" s="202">
        <v>1646.36</v>
      </c>
      <c r="H35" s="202">
        <f t="shared" si="2"/>
        <v>1617.84</v>
      </c>
      <c r="I35" s="202">
        <f t="shared" si="3"/>
        <v>22678.3</v>
      </c>
      <c r="J35" s="202">
        <f t="shared" si="9"/>
        <v>6776.28</v>
      </c>
      <c r="K35" s="202">
        <f t="shared" si="5"/>
        <v>1928</v>
      </c>
      <c r="L35" s="202">
        <f t="shared" si="6"/>
        <v>31382.579999999998</v>
      </c>
      <c r="M35" s="206">
        <f t="shared" si="7"/>
        <v>8704.2799999999988</v>
      </c>
      <c r="N35" s="266" t="s">
        <v>26</v>
      </c>
    </row>
  </sheetData>
  <mergeCells count="1">
    <mergeCell ref="T5:T9"/>
  </mergeCells>
  <printOptions gridLines="1"/>
  <pageMargins left="0.74803149606299213" right="0.74803149606299213" top="0.98425196850393704" bottom="0.98425196850393704"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17</vt:i4>
      </vt:variant>
    </vt:vector>
  </HeadingPairs>
  <TitlesOfParts>
    <vt:vector size="17" baseType="lpstr">
      <vt:lpstr>2019</vt:lpstr>
      <vt:lpstr>2020</vt:lpstr>
      <vt:lpstr>2021</vt:lpstr>
      <vt:lpstr>genn-marzo 2022</vt:lpstr>
      <vt:lpstr>aprile giugno 2022</vt:lpstr>
      <vt:lpstr>da luglio 22 a dic 2022</vt:lpstr>
      <vt:lpstr>gennaio 2023</vt:lpstr>
      <vt:lpstr>da febb 2023 a dic 2023</vt:lpstr>
      <vt:lpstr>da genn a aprile 2024</vt:lpstr>
      <vt:lpstr>da maggio 2024 a mar 2025</vt:lpstr>
      <vt:lpstr>da aprile-giugno 2025</vt:lpstr>
      <vt:lpstr>da luglio 2025</vt:lpstr>
      <vt:lpstr>CCNL Economico 2022</vt:lpstr>
      <vt:lpstr>CCNL Ec 2022 Giur 2024</vt:lpstr>
      <vt:lpstr>CCNL Ec 22 Giur 24 Nuova Class</vt:lpstr>
      <vt:lpstr>IVC Nuova</vt:lpstr>
      <vt:lpstr>Emonum Acc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CLAUDIA CAPONI D096387</cp:lastModifiedBy>
  <cp:lastPrinted>2018-02-14T12:50:29Z</cp:lastPrinted>
  <dcterms:created xsi:type="dcterms:W3CDTF">1996-11-05T10:16:36Z</dcterms:created>
  <dcterms:modified xsi:type="dcterms:W3CDTF">2026-03-12T13:28:51Z</dcterms:modified>
</cp:coreProperties>
</file>