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mo.unifi.it\FD_BILANCIO_E_FONDI\Bilancio di previsione Personale\TABELLE STIPENDIALI\2023 con Emonumento accessorio una tantum\"/>
    </mc:Choice>
  </mc:AlternateContent>
  <xr:revisionPtr revIDLastSave="0" documentId="13_ncr:1_{2C23262B-258B-4682-8B32-18A09EB33BF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100% " sheetId="16" r:id="rId1"/>
    <sheet name="83,33%" sheetId="20" r:id="rId2"/>
    <sheet name="66,66%" sheetId="21" r:id="rId3"/>
    <sheet name="50%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2" l="1"/>
  <c r="E64" i="22"/>
  <c r="C64" i="22"/>
  <c r="B64" i="22"/>
  <c r="F63" i="22"/>
  <c r="E63" i="22"/>
  <c r="D63" i="22"/>
  <c r="C63" i="22"/>
  <c r="B63" i="22"/>
  <c r="F62" i="22"/>
  <c r="E62" i="22"/>
  <c r="C62" i="22"/>
  <c r="B62" i="22"/>
  <c r="D62" i="22" s="1"/>
  <c r="F61" i="22"/>
  <c r="E61" i="22"/>
  <c r="C61" i="22"/>
  <c r="B61" i="22"/>
  <c r="D61" i="22" s="1"/>
  <c r="F60" i="22"/>
  <c r="E60" i="22"/>
  <c r="C60" i="22"/>
  <c r="B60" i="22"/>
  <c r="D60" i="22" s="1"/>
  <c r="F55" i="22"/>
  <c r="E55" i="22"/>
  <c r="C55" i="22"/>
  <c r="B55" i="22"/>
  <c r="D55" i="22" s="1"/>
  <c r="F54" i="22"/>
  <c r="E54" i="22"/>
  <c r="D54" i="22"/>
  <c r="C54" i="22"/>
  <c r="B54" i="22"/>
  <c r="F53" i="22"/>
  <c r="E53" i="22"/>
  <c r="C53" i="22"/>
  <c r="B53" i="22"/>
  <c r="F52" i="22"/>
  <c r="E52" i="22"/>
  <c r="C52" i="22"/>
  <c r="B52" i="22"/>
  <c r="F51" i="22"/>
  <c r="E51" i="22"/>
  <c r="D51" i="22"/>
  <c r="C51" i="22"/>
  <c r="B51" i="22"/>
  <c r="E46" i="22"/>
  <c r="D46" i="22"/>
  <c r="C46" i="22"/>
  <c r="B46" i="22"/>
  <c r="F45" i="22"/>
  <c r="E45" i="22"/>
  <c r="C45" i="22"/>
  <c r="B45" i="22"/>
  <c r="D45" i="22" s="1"/>
  <c r="F44" i="22"/>
  <c r="E44" i="22"/>
  <c r="C44" i="22"/>
  <c r="B44" i="22"/>
  <c r="D44" i="22" s="1"/>
  <c r="F43" i="22"/>
  <c r="E43" i="22"/>
  <c r="C43" i="22"/>
  <c r="B43" i="22"/>
  <c r="D43" i="22" s="1"/>
  <c r="F42" i="22"/>
  <c r="E42" i="22"/>
  <c r="C42" i="22"/>
  <c r="B42" i="22"/>
  <c r="D42" i="22" s="1"/>
  <c r="E37" i="22"/>
  <c r="C37" i="22"/>
  <c r="B37" i="22"/>
  <c r="F36" i="22"/>
  <c r="E36" i="22"/>
  <c r="D36" i="22"/>
  <c r="C36" i="22"/>
  <c r="B36" i="22"/>
  <c r="F35" i="22"/>
  <c r="E35" i="22"/>
  <c r="C35" i="22"/>
  <c r="B35" i="22"/>
  <c r="F34" i="22"/>
  <c r="E34" i="22"/>
  <c r="C34" i="22"/>
  <c r="B34" i="22"/>
  <c r="F33" i="22"/>
  <c r="E33" i="22"/>
  <c r="D33" i="22"/>
  <c r="C33" i="22"/>
  <c r="B33" i="22"/>
  <c r="E28" i="22"/>
  <c r="D28" i="22"/>
  <c r="C28" i="22"/>
  <c r="B28" i="22"/>
  <c r="F27" i="22"/>
  <c r="E27" i="22"/>
  <c r="C27" i="22"/>
  <c r="B27" i="22"/>
  <c r="D27" i="22" s="1"/>
  <c r="F26" i="22"/>
  <c r="E26" i="22"/>
  <c r="C26" i="22"/>
  <c r="B26" i="22"/>
  <c r="D26" i="22" s="1"/>
  <c r="F25" i="22"/>
  <c r="E25" i="22"/>
  <c r="C25" i="22"/>
  <c r="B25" i="22"/>
  <c r="D25" i="22" s="1"/>
  <c r="F24" i="22"/>
  <c r="E24" i="22"/>
  <c r="C24" i="22"/>
  <c r="B24" i="22"/>
  <c r="D24" i="22" s="1"/>
  <c r="E19" i="22"/>
  <c r="C19" i="22"/>
  <c r="B19" i="22"/>
  <c r="F18" i="22"/>
  <c r="E18" i="22"/>
  <c r="C18" i="22"/>
  <c r="B18" i="22"/>
  <c r="F17" i="22"/>
  <c r="E17" i="22"/>
  <c r="C17" i="22"/>
  <c r="B17" i="22"/>
  <c r="F16" i="22"/>
  <c r="E16" i="22"/>
  <c r="C16" i="22"/>
  <c r="B16" i="22"/>
  <c r="F15" i="22"/>
  <c r="E15" i="22"/>
  <c r="D15" i="22"/>
  <c r="C15" i="22"/>
  <c r="B15" i="22"/>
  <c r="E10" i="22"/>
  <c r="D10" i="22"/>
  <c r="C10" i="22"/>
  <c r="B10" i="22"/>
  <c r="F9" i="22"/>
  <c r="E9" i="22"/>
  <c r="C9" i="22"/>
  <c r="B9" i="22"/>
  <c r="D9" i="22" s="1"/>
  <c r="F8" i="22"/>
  <c r="E8" i="22"/>
  <c r="C8" i="22"/>
  <c r="B8" i="22"/>
  <c r="D8" i="22" s="1"/>
  <c r="F7" i="22"/>
  <c r="E7" i="22"/>
  <c r="C7" i="22"/>
  <c r="B7" i="22"/>
  <c r="D7" i="22" s="1"/>
  <c r="F6" i="22"/>
  <c r="E6" i="22"/>
  <c r="C6" i="22"/>
  <c r="B6" i="22"/>
  <c r="D6" i="22" s="1"/>
  <c r="F64" i="21"/>
  <c r="E64" i="21"/>
  <c r="C64" i="21"/>
  <c r="B64" i="21"/>
  <c r="F63" i="21"/>
  <c r="E63" i="21"/>
  <c r="D63" i="21"/>
  <c r="C63" i="21"/>
  <c r="B63" i="21"/>
  <c r="F62" i="21"/>
  <c r="E62" i="21"/>
  <c r="D62" i="21"/>
  <c r="C62" i="21"/>
  <c r="B62" i="21"/>
  <c r="F61" i="21"/>
  <c r="E61" i="21"/>
  <c r="C61" i="21"/>
  <c r="B61" i="21"/>
  <c r="D61" i="21" s="1"/>
  <c r="F60" i="21"/>
  <c r="E60" i="21"/>
  <c r="C60" i="21"/>
  <c r="B60" i="21"/>
  <c r="D60" i="21" s="1"/>
  <c r="F55" i="21"/>
  <c r="E55" i="21"/>
  <c r="C55" i="21"/>
  <c r="B55" i="21"/>
  <c r="D55" i="21" s="1"/>
  <c r="F54" i="21"/>
  <c r="E54" i="21"/>
  <c r="C54" i="21"/>
  <c r="B54" i="21"/>
  <c r="D54" i="21" s="1"/>
  <c r="F53" i="21"/>
  <c r="E53" i="21"/>
  <c r="C53" i="21"/>
  <c r="B53" i="21"/>
  <c r="F52" i="21"/>
  <c r="E52" i="21"/>
  <c r="C52" i="21"/>
  <c r="B52" i="21"/>
  <c r="F51" i="21"/>
  <c r="E51" i="21"/>
  <c r="D51" i="21"/>
  <c r="C51" i="21"/>
  <c r="B51" i="21"/>
  <c r="E46" i="21"/>
  <c r="C46" i="21"/>
  <c r="D46" i="21" s="1"/>
  <c r="B46" i="21"/>
  <c r="F45" i="21"/>
  <c r="E45" i="21"/>
  <c r="D45" i="21"/>
  <c r="C45" i="21"/>
  <c r="B45" i="21"/>
  <c r="F44" i="21"/>
  <c r="E44" i="21"/>
  <c r="C44" i="21"/>
  <c r="B44" i="21"/>
  <c r="D44" i="21" s="1"/>
  <c r="F43" i="21"/>
  <c r="E43" i="21"/>
  <c r="C43" i="21"/>
  <c r="B43" i="21"/>
  <c r="D43" i="21" s="1"/>
  <c r="F42" i="21"/>
  <c r="E42" i="21"/>
  <c r="C42" i="21"/>
  <c r="B42" i="21"/>
  <c r="D42" i="21" s="1"/>
  <c r="E37" i="21"/>
  <c r="C37" i="21"/>
  <c r="B37" i="21"/>
  <c r="D37" i="21" s="1"/>
  <c r="F36" i="21"/>
  <c r="E36" i="21"/>
  <c r="C36" i="21"/>
  <c r="B36" i="21"/>
  <c r="D36" i="21" s="1"/>
  <c r="F35" i="21"/>
  <c r="E35" i="21"/>
  <c r="C35" i="21"/>
  <c r="B35" i="21"/>
  <c r="D35" i="21" s="1"/>
  <c r="F34" i="21"/>
  <c r="E34" i="21"/>
  <c r="C34" i="21"/>
  <c r="B34" i="21"/>
  <c r="D34" i="21" s="1"/>
  <c r="F33" i="21"/>
  <c r="E33" i="21"/>
  <c r="C33" i="21"/>
  <c r="D33" i="21" s="1"/>
  <c r="B33" i="21"/>
  <c r="E28" i="21"/>
  <c r="C28" i="21"/>
  <c r="D28" i="21" s="1"/>
  <c r="B28" i="21"/>
  <c r="F27" i="21"/>
  <c r="E27" i="21"/>
  <c r="D27" i="21"/>
  <c r="C27" i="21"/>
  <c r="B27" i="21"/>
  <c r="F26" i="21"/>
  <c r="E26" i="21"/>
  <c r="C26" i="21"/>
  <c r="B26" i="21"/>
  <c r="D26" i="21" s="1"/>
  <c r="F25" i="21"/>
  <c r="E25" i="21"/>
  <c r="C25" i="21"/>
  <c r="B25" i="21"/>
  <c r="D25" i="21" s="1"/>
  <c r="F24" i="21"/>
  <c r="E24" i="21"/>
  <c r="C24" i="21"/>
  <c r="B24" i="21"/>
  <c r="D24" i="21" s="1"/>
  <c r="E19" i="21"/>
  <c r="C19" i="21"/>
  <c r="B19" i="21"/>
  <c r="D19" i="21" s="1"/>
  <c r="F18" i="21"/>
  <c r="E18" i="21"/>
  <c r="C18" i="21"/>
  <c r="B18" i="21"/>
  <c r="D18" i="21" s="1"/>
  <c r="F17" i="21"/>
  <c r="E17" i="21"/>
  <c r="C17" i="21"/>
  <c r="B17" i="21"/>
  <c r="D17" i="21" s="1"/>
  <c r="F16" i="21"/>
  <c r="E16" i="21"/>
  <c r="C16" i="21"/>
  <c r="B16" i="21"/>
  <c r="D16" i="21" s="1"/>
  <c r="F15" i="21"/>
  <c r="E15" i="21"/>
  <c r="C15" i="21"/>
  <c r="B15" i="21"/>
  <c r="E10" i="21"/>
  <c r="C10" i="21"/>
  <c r="D10" i="21" s="1"/>
  <c r="B10" i="21"/>
  <c r="F9" i="21"/>
  <c r="E9" i="21"/>
  <c r="D9" i="21"/>
  <c r="C9" i="21"/>
  <c r="B9" i="21"/>
  <c r="F8" i="21"/>
  <c r="E8" i="21"/>
  <c r="C8" i="21"/>
  <c r="B8" i="21"/>
  <c r="D8" i="21" s="1"/>
  <c r="F7" i="21"/>
  <c r="E7" i="21"/>
  <c r="C7" i="21"/>
  <c r="B7" i="21"/>
  <c r="D7" i="21" s="1"/>
  <c r="F6" i="21"/>
  <c r="E6" i="21"/>
  <c r="C6" i="21"/>
  <c r="B6" i="21"/>
  <c r="D6" i="21" s="1"/>
  <c r="F64" i="20"/>
  <c r="E64" i="20"/>
  <c r="C64" i="20"/>
  <c r="B64" i="20"/>
  <c r="D64" i="20" s="1"/>
  <c r="F63" i="20"/>
  <c r="E63" i="20"/>
  <c r="C63" i="20"/>
  <c r="B63" i="20"/>
  <c r="D63" i="20" s="1"/>
  <c r="F62" i="20"/>
  <c r="E62" i="20"/>
  <c r="C62" i="20"/>
  <c r="B62" i="20"/>
  <c r="D62" i="20" s="1"/>
  <c r="F61" i="20"/>
  <c r="E61" i="20"/>
  <c r="C61" i="20"/>
  <c r="B61" i="20"/>
  <c r="D61" i="20" s="1"/>
  <c r="F60" i="20"/>
  <c r="E60" i="20"/>
  <c r="C60" i="20"/>
  <c r="B60" i="20"/>
  <c r="D60" i="20" s="1"/>
  <c r="F55" i="20"/>
  <c r="E55" i="20"/>
  <c r="C55" i="20"/>
  <c r="B55" i="20"/>
  <c r="F54" i="20"/>
  <c r="E54" i="20"/>
  <c r="D54" i="20"/>
  <c r="C54" i="20"/>
  <c r="B54" i="20"/>
  <c r="F53" i="20"/>
  <c r="E53" i="20"/>
  <c r="C53" i="20"/>
  <c r="B53" i="20"/>
  <c r="D53" i="20" s="1"/>
  <c r="F52" i="20"/>
  <c r="E52" i="20"/>
  <c r="C52" i="20"/>
  <c r="B52" i="20"/>
  <c r="F51" i="20"/>
  <c r="E51" i="20"/>
  <c r="C51" i="20"/>
  <c r="B51" i="20"/>
  <c r="E46" i="20"/>
  <c r="C46" i="20"/>
  <c r="B46" i="20"/>
  <c r="F45" i="20"/>
  <c r="E45" i="20"/>
  <c r="C45" i="20"/>
  <c r="B45" i="20"/>
  <c r="D45" i="20" s="1"/>
  <c r="F44" i="20"/>
  <c r="E44" i="20"/>
  <c r="C44" i="20"/>
  <c r="B44" i="20"/>
  <c r="D44" i="20" s="1"/>
  <c r="F43" i="20"/>
  <c r="E43" i="20"/>
  <c r="C43" i="20"/>
  <c r="B43" i="20"/>
  <c r="D43" i="20" s="1"/>
  <c r="F42" i="20"/>
  <c r="E42" i="20"/>
  <c r="C42" i="20"/>
  <c r="B42" i="20"/>
  <c r="D42" i="20" s="1"/>
  <c r="E37" i="20"/>
  <c r="C37" i="20"/>
  <c r="B37" i="20"/>
  <c r="D37" i="20" s="1"/>
  <c r="F36" i="20"/>
  <c r="E36" i="20"/>
  <c r="C36" i="20"/>
  <c r="B36" i="20"/>
  <c r="D36" i="20" s="1"/>
  <c r="F35" i="20"/>
  <c r="E35" i="20"/>
  <c r="C35" i="20"/>
  <c r="B35" i="20"/>
  <c r="D35" i="20" s="1"/>
  <c r="F34" i="20"/>
  <c r="E34" i="20"/>
  <c r="C34" i="20"/>
  <c r="B34" i="20"/>
  <c r="D34" i="20" s="1"/>
  <c r="F33" i="20"/>
  <c r="E33" i="20"/>
  <c r="C33" i="20"/>
  <c r="D33" i="20" s="1"/>
  <c r="B33" i="20"/>
  <c r="E28" i="20"/>
  <c r="C28" i="20"/>
  <c r="D28" i="20" s="1"/>
  <c r="B28" i="20"/>
  <c r="F27" i="20"/>
  <c r="E27" i="20"/>
  <c r="C27" i="20"/>
  <c r="B27" i="20"/>
  <c r="F26" i="20"/>
  <c r="E26" i="20"/>
  <c r="C26" i="20"/>
  <c r="B26" i="20"/>
  <c r="F25" i="20"/>
  <c r="E25" i="20"/>
  <c r="C25" i="20"/>
  <c r="B25" i="20"/>
  <c r="F24" i="20"/>
  <c r="E24" i="20"/>
  <c r="D24" i="20"/>
  <c r="C24" i="20"/>
  <c r="B24" i="20"/>
  <c r="E19" i="20"/>
  <c r="D19" i="20"/>
  <c r="C19" i="20"/>
  <c r="B19" i="20"/>
  <c r="F18" i="20"/>
  <c r="E18" i="20"/>
  <c r="C18" i="20"/>
  <c r="B18" i="20"/>
  <c r="F17" i="20"/>
  <c r="E17" i="20"/>
  <c r="C17" i="20"/>
  <c r="B17" i="20"/>
  <c r="D17" i="20" s="1"/>
  <c r="F16" i="20"/>
  <c r="E16" i="20"/>
  <c r="C16" i="20"/>
  <c r="B16" i="20"/>
  <c r="D16" i="20" s="1"/>
  <c r="F15" i="20"/>
  <c r="E15" i="20"/>
  <c r="C15" i="20"/>
  <c r="B15" i="20"/>
  <c r="E10" i="20"/>
  <c r="C10" i="20"/>
  <c r="B10" i="20"/>
  <c r="F9" i="20"/>
  <c r="E9" i="20"/>
  <c r="C9" i="20"/>
  <c r="B9" i="20"/>
  <c r="D9" i="20" s="1"/>
  <c r="F8" i="20"/>
  <c r="E8" i="20"/>
  <c r="C8" i="20"/>
  <c r="B8" i="20"/>
  <c r="D8" i="20" s="1"/>
  <c r="F7" i="20"/>
  <c r="E7" i="20"/>
  <c r="C7" i="20"/>
  <c r="B7" i="20"/>
  <c r="D7" i="20" s="1"/>
  <c r="F6" i="20"/>
  <c r="E6" i="20"/>
  <c r="C6" i="20"/>
  <c r="B6" i="20"/>
  <c r="F64" i="16"/>
  <c r="F63" i="16"/>
  <c r="F62" i="16"/>
  <c r="F61" i="16"/>
  <c r="F60" i="16"/>
  <c r="F55" i="16"/>
  <c r="F54" i="16"/>
  <c r="F53" i="16"/>
  <c r="F52" i="16"/>
  <c r="F51" i="16"/>
  <c r="E55" i="16"/>
  <c r="D55" i="16"/>
  <c r="C55" i="16"/>
  <c r="B55" i="16"/>
  <c r="E54" i="16"/>
  <c r="C54" i="16"/>
  <c r="B54" i="16"/>
  <c r="D54" i="16" s="1"/>
  <c r="E53" i="16"/>
  <c r="C53" i="16"/>
  <c r="B53" i="16"/>
  <c r="E52" i="16"/>
  <c r="C52" i="16"/>
  <c r="B52" i="16"/>
  <c r="E51" i="16"/>
  <c r="C51" i="16"/>
  <c r="B51" i="16"/>
  <c r="D51" i="16" s="1"/>
  <c r="G42" i="22" l="1"/>
  <c r="G55" i="22"/>
  <c r="G10" i="22"/>
  <c r="G15" i="22"/>
  <c r="I15" i="22" s="1"/>
  <c r="D16" i="22"/>
  <c r="D17" i="22"/>
  <c r="G33" i="22"/>
  <c r="D34" i="22"/>
  <c r="D35" i="22"/>
  <c r="G35" i="22" s="1"/>
  <c r="G36" i="22"/>
  <c r="G51" i="22"/>
  <c r="D52" i="22"/>
  <c r="D53" i="22"/>
  <c r="G54" i="22"/>
  <c r="H54" i="22" s="1"/>
  <c r="G63" i="22"/>
  <c r="D64" i="22"/>
  <c r="G18" i="22"/>
  <c r="I18" i="22" s="1"/>
  <c r="G45" i="22"/>
  <c r="H45" i="22" s="1"/>
  <c r="G6" i="22"/>
  <c r="I6" i="22" s="1"/>
  <c r="D18" i="22"/>
  <c r="G24" i="22"/>
  <c r="G27" i="22"/>
  <c r="H27" i="22" s="1"/>
  <c r="G9" i="22"/>
  <c r="H9" i="22" s="1"/>
  <c r="D19" i="22"/>
  <c r="G19" i="22" s="1"/>
  <c r="G28" i="22"/>
  <c r="D37" i="22"/>
  <c r="G37" i="22" s="1"/>
  <c r="G46" i="22"/>
  <c r="H46" i="22" s="1"/>
  <c r="G62" i="22"/>
  <c r="H62" i="22" s="1"/>
  <c r="G36" i="21"/>
  <c r="G54" i="21"/>
  <c r="G6" i="21"/>
  <c r="G24" i="21"/>
  <c r="I24" i="21" s="1"/>
  <c r="G7" i="21"/>
  <c r="G9" i="21"/>
  <c r="G10" i="21"/>
  <c r="G25" i="21"/>
  <c r="H25" i="21" s="1"/>
  <c r="J25" i="21" s="1"/>
  <c r="G27" i="21"/>
  <c r="G28" i="21"/>
  <c r="G43" i="21"/>
  <c r="G45" i="21"/>
  <c r="H45" i="21" s="1"/>
  <c r="G46" i="21"/>
  <c r="G60" i="21"/>
  <c r="G62" i="21"/>
  <c r="G33" i="21"/>
  <c r="H33" i="21" s="1"/>
  <c r="G51" i="21"/>
  <c r="D52" i="21"/>
  <c r="D53" i="21"/>
  <c r="G63" i="21"/>
  <c r="H63" i="21" s="1"/>
  <c r="D64" i="21"/>
  <c r="G64" i="21" s="1"/>
  <c r="G15" i="21"/>
  <c r="D15" i="21"/>
  <c r="G19" i="21"/>
  <c r="H19" i="21" s="1"/>
  <c r="G37" i="21"/>
  <c r="G18" i="21"/>
  <c r="G42" i="21"/>
  <c r="G55" i="21"/>
  <c r="H55" i="21" s="1"/>
  <c r="D6" i="20"/>
  <c r="G6" i="20" s="1"/>
  <c r="D18" i="20"/>
  <c r="G19" i="20"/>
  <c r="G24" i="20"/>
  <c r="D52" i="20"/>
  <c r="G52" i="20" s="1"/>
  <c r="G54" i="20"/>
  <c r="G63" i="20"/>
  <c r="I63" i="20" s="1"/>
  <c r="G37" i="20"/>
  <c r="G42" i="20"/>
  <c r="H42" i="20" s="1"/>
  <c r="G34" i="20"/>
  <c r="I34" i="20" s="1"/>
  <c r="D55" i="20"/>
  <c r="G55" i="20" s="1"/>
  <c r="G60" i="20"/>
  <c r="I60" i="20" s="1"/>
  <c r="G62" i="20"/>
  <c r="D10" i="20"/>
  <c r="G10" i="20" s="1"/>
  <c r="D15" i="20"/>
  <c r="G15" i="20" s="1"/>
  <c r="D25" i="20"/>
  <c r="G25" i="20" s="1"/>
  <c r="D26" i="20"/>
  <c r="D27" i="20"/>
  <c r="G28" i="20"/>
  <c r="G33" i="20"/>
  <c r="I33" i="20" s="1"/>
  <c r="D46" i="20"/>
  <c r="G46" i="20" s="1"/>
  <c r="D51" i="20"/>
  <c r="G51" i="20" s="1"/>
  <c r="G16" i="22"/>
  <c r="H18" i="22"/>
  <c r="G34" i="22"/>
  <c r="G52" i="22"/>
  <c r="G64" i="22"/>
  <c r="H15" i="22"/>
  <c r="H36" i="22"/>
  <c r="I36" i="22"/>
  <c r="I63" i="22"/>
  <c r="H63" i="22"/>
  <c r="I24" i="22"/>
  <c r="H24" i="22"/>
  <c r="I27" i="22"/>
  <c r="I42" i="22"/>
  <c r="H42" i="22"/>
  <c r="I45" i="22"/>
  <c r="H55" i="22"/>
  <c r="I55" i="22"/>
  <c r="H33" i="22"/>
  <c r="I33" i="22"/>
  <c r="I51" i="22"/>
  <c r="H51" i="22"/>
  <c r="G7" i="22"/>
  <c r="I9" i="22"/>
  <c r="H10" i="22"/>
  <c r="I10" i="22"/>
  <c r="G25" i="22"/>
  <c r="H28" i="22"/>
  <c r="I28" i="22"/>
  <c r="G43" i="22"/>
  <c r="I46" i="22"/>
  <c r="G60" i="22"/>
  <c r="G8" i="22"/>
  <c r="G17" i="22"/>
  <c r="G26" i="22"/>
  <c r="G44" i="22"/>
  <c r="G53" i="22"/>
  <c r="G61" i="22"/>
  <c r="H9" i="21"/>
  <c r="I9" i="21"/>
  <c r="I25" i="21"/>
  <c r="H28" i="21"/>
  <c r="I28" i="21"/>
  <c r="I43" i="21"/>
  <c r="H43" i="21"/>
  <c r="H46" i="21"/>
  <c r="I46" i="21"/>
  <c r="I60" i="21"/>
  <c r="H60" i="21"/>
  <c r="H62" i="21"/>
  <c r="I62" i="21"/>
  <c r="I64" i="21"/>
  <c r="H64" i="21"/>
  <c r="G16" i="21"/>
  <c r="H18" i="21"/>
  <c r="I18" i="21"/>
  <c r="G34" i="21"/>
  <c r="H36" i="21"/>
  <c r="I36" i="21"/>
  <c r="H37" i="21"/>
  <c r="I37" i="21"/>
  <c r="G52" i="21"/>
  <c r="H54" i="21"/>
  <c r="I54" i="21"/>
  <c r="I7" i="21"/>
  <c r="H7" i="21"/>
  <c r="J7" i="21" s="1"/>
  <c r="H10" i="21"/>
  <c r="I10" i="21"/>
  <c r="H27" i="21"/>
  <c r="I27" i="21"/>
  <c r="I15" i="21"/>
  <c r="H15" i="21"/>
  <c r="J15" i="21" s="1"/>
  <c r="H51" i="21"/>
  <c r="I51" i="21"/>
  <c r="I6" i="21"/>
  <c r="H6" i="21"/>
  <c r="J6" i="21" s="1"/>
  <c r="I42" i="21"/>
  <c r="H42" i="21"/>
  <c r="J42" i="21" s="1"/>
  <c r="G8" i="21"/>
  <c r="G17" i="21"/>
  <c r="G26" i="21"/>
  <c r="G35" i="21"/>
  <c r="G44" i="21"/>
  <c r="G53" i="21"/>
  <c r="G61" i="21"/>
  <c r="G7" i="20"/>
  <c r="I24" i="20"/>
  <c r="H24" i="20"/>
  <c r="J24" i="20" s="1"/>
  <c r="G43" i="20"/>
  <c r="H54" i="20"/>
  <c r="J54" i="20" s="1"/>
  <c r="I54" i="20"/>
  <c r="H63" i="20"/>
  <c r="G16" i="20"/>
  <c r="H28" i="20"/>
  <c r="I28" i="20"/>
  <c r="G64" i="20"/>
  <c r="H34" i="20"/>
  <c r="H60" i="20"/>
  <c r="H62" i="20"/>
  <c r="I62" i="20"/>
  <c r="H19" i="20"/>
  <c r="I19" i="20"/>
  <c r="H37" i="20"/>
  <c r="I37" i="20"/>
  <c r="I42" i="20"/>
  <c r="G8" i="20"/>
  <c r="G17" i="20"/>
  <c r="G26" i="20"/>
  <c r="G35" i="20"/>
  <c r="G44" i="20"/>
  <c r="G53" i="20"/>
  <c r="G61" i="20"/>
  <c r="G9" i="20"/>
  <c r="G18" i="20"/>
  <c r="G27" i="20"/>
  <c r="G36" i="20"/>
  <c r="G45" i="20"/>
  <c r="G55" i="16"/>
  <c r="H55" i="16" s="1"/>
  <c r="D52" i="16"/>
  <c r="G51" i="16"/>
  <c r="H51" i="16" s="1"/>
  <c r="G54" i="16"/>
  <c r="G52" i="16"/>
  <c r="D53" i="16"/>
  <c r="G53" i="16" s="1"/>
  <c r="H19" i="22" l="1"/>
  <c r="I19" i="22"/>
  <c r="H37" i="22"/>
  <c r="I37" i="22"/>
  <c r="J37" i="22" s="1"/>
  <c r="J28" i="22"/>
  <c r="J55" i="22"/>
  <c r="J36" i="22"/>
  <c r="I62" i="22"/>
  <c r="J62" i="22" s="1"/>
  <c r="H6" i="22"/>
  <c r="J6" i="22" s="1"/>
  <c r="I54" i="22"/>
  <c r="J15" i="22"/>
  <c r="J45" i="21"/>
  <c r="J33" i="21"/>
  <c r="J63" i="21"/>
  <c r="H24" i="21"/>
  <c r="J24" i="21" s="1"/>
  <c r="I33" i="21"/>
  <c r="I45" i="21"/>
  <c r="I19" i="21"/>
  <c r="J19" i="21" s="1"/>
  <c r="I55" i="21"/>
  <c r="J55" i="21" s="1"/>
  <c r="I63" i="21"/>
  <c r="J10" i="21"/>
  <c r="J54" i="21"/>
  <c r="J64" i="21"/>
  <c r="J60" i="21"/>
  <c r="J43" i="21"/>
  <c r="H51" i="20"/>
  <c r="I51" i="20"/>
  <c r="H10" i="20"/>
  <c r="I10" i="20"/>
  <c r="H46" i="20"/>
  <c r="J46" i="20" s="1"/>
  <c r="I46" i="20"/>
  <c r="I6" i="20"/>
  <c r="H6" i="20"/>
  <c r="J6" i="20" s="1"/>
  <c r="I15" i="20"/>
  <c r="H15" i="20"/>
  <c r="J15" i="20" s="1"/>
  <c r="I55" i="20"/>
  <c r="H55" i="20"/>
  <c r="J55" i="20" s="1"/>
  <c r="J34" i="20"/>
  <c r="H33" i="20"/>
  <c r="J33" i="20" s="1"/>
  <c r="J60" i="20"/>
  <c r="I44" i="22"/>
  <c r="H44" i="22"/>
  <c r="I8" i="22"/>
  <c r="H8" i="22"/>
  <c r="J8" i="22" s="1"/>
  <c r="I52" i="22"/>
  <c r="H52" i="22"/>
  <c r="I16" i="22"/>
  <c r="H16" i="22"/>
  <c r="J16" i="22" s="1"/>
  <c r="I35" i="22"/>
  <c r="H35" i="22"/>
  <c r="J46" i="22"/>
  <c r="I25" i="22"/>
  <c r="H25" i="22"/>
  <c r="I61" i="22"/>
  <c r="H61" i="22"/>
  <c r="J61" i="22" s="1"/>
  <c r="I26" i="22"/>
  <c r="H26" i="22"/>
  <c r="I43" i="22"/>
  <c r="H43" i="22"/>
  <c r="J43" i="22" s="1"/>
  <c r="I7" i="22"/>
  <c r="H7" i="22"/>
  <c r="J33" i="22"/>
  <c r="J45" i="22"/>
  <c r="J27" i="22"/>
  <c r="J54" i="22"/>
  <c r="J9" i="22"/>
  <c r="J19" i="22"/>
  <c r="I53" i="22"/>
  <c r="H53" i="22"/>
  <c r="J53" i="22" s="1"/>
  <c r="I17" i="22"/>
  <c r="H17" i="22"/>
  <c r="I60" i="22"/>
  <c r="H60" i="22"/>
  <c r="J60" i="22" s="1"/>
  <c r="J10" i="22"/>
  <c r="J51" i="22"/>
  <c r="J42" i="22"/>
  <c r="J24" i="22"/>
  <c r="J63" i="22"/>
  <c r="I64" i="22"/>
  <c r="H64" i="22"/>
  <c r="I34" i="22"/>
  <c r="H34" i="22"/>
  <c r="J34" i="22" s="1"/>
  <c r="J18" i="22"/>
  <c r="I26" i="21"/>
  <c r="H26" i="21"/>
  <c r="J26" i="21" s="1"/>
  <c r="I17" i="21"/>
  <c r="H17" i="21"/>
  <c r="J17" i="21" s="1"/>
  <c r="J36" i="21"/>
  <c r="I44" i="21"/>
  <c r="H44" i="21"/>
  <c r="I8" i="21"/>
  <c r="H8" i="21"/>
  <c r="J51" i="21"/>
  <c r="J27" i="21"/>
  <c r="I34" i="21"/>
  <c r="H34" i="21"/>
  <c r="J18" i="21"/>
  <c r="I61" i="21"/>
  <c r="H61" i="21"/>
  <c r="J61" i="21" s="1"/>
  <c r="I53" i="21"/>
  <c r="H53" i="21"/>
  <c r="I52" i="21"/>
  <c r="H52" i="21"/>
  <c r="J52" i="21" s="1"/>
  <c r="I35" i="21"/>
  <c r="H35" i="21"/>
  <c r="J37" i="21"/>
  <c r="I16" i="21"/>
  <c r="H16" i="21"/>
  <c r="J62" i="21"/>
  <c r="J46" i="21"/>
  <c r="J28" i="21"/>
  <c r="J9" i="21"/>
  <c r="I8" i="20"/>
  <c r="H8" i="20"/>
  <c r="I16" i="20"/>
  <c r="H16" i="20"/>
  <c r="J16" i="20" s="1"/>
  <c r="I7" i="20"/>
  <c r="H7" i="20"/>
  <c r="H9" i="20"/>
  <c r="I9" i="20"/>
  <c r="I35" i="20"/>
  <c r="H35" i="20"/>
  <c r="J62" i="20"/>
  <c r="J10" i="20"/>
  <c r="H36" i="20"/>
  <c r="I36" i="20"/>
  <c r="I26" i="20"/>
  <c r="H26" i="20"/>
  <c r="J26" i="20" s="1"/>
  <c r="J37" i="20"/>
  <c r="I64" i="20"/>
  <c r="H64" i="20"/>
  <c r="J64" i="20" s="1"/>
  <c r="J63" i="20"/>
  <c r="H18" i="20"/>
  <c r="I18" i="20"/>
  <c r="I44" i="20"/>
  <c r="H44" i="20"/>
  <c r="H45" i="20"/>
  <c r="I45" i="20"/>
  <c r="J51" i="20"/>
  <c r="I43" i="20"/>
  <c r="H43" i="20"/>
  <c r="I61" i="20"/>
  <c r="H61" i="20"/>
  <c r="J61" i="20" s="1"/>
  <c r="H27" i="20"/>
  <c r="I27" i="20"/>
  <c r="I53" i="20"/>
  <c r="H53" i="20"/>
  <c r="I17" i="20"/>
  <c r="H17" i="20"/>
  <c r="J17" i="20" s="1"/>
  <c r="J42" i="20"/>
  <c r="I25" i="20"/>
  <c r="H25" i="20"/>
  <c r="J19" i="20"/>
  <c r="I52" i="20"/>
  <c r="H52" i="20"/>
  <c r="J28" i="20"/>
  <c r="I51" i="16"/>
  <c r="I55" i="16"/>
  <c r="J55" i="16" s="1"/>
  <c r="I53" i="16"/>
  <c r="H53" i="16"/>
  <c r="H52" i="16"/>
  <c r="I52" i="16"/>
  <c r="H54" i="16"/>
  <c r="I54" i="16"/>
  <c r="J51" i="16"/>
  <c r="J35" i="22" l="1"/>
  <c r="J52" i="22"/>
  <c r="J44" i="22"/>
  <c r="J17" i="22"/>
  <c r="J44" i="21"/>
  <c r="J36" i="20"/>
  <c r="J64" i="22"/>
  <c r="J7" i="22"/>
  <c r="J26" i="22"/>
  <c r="J25" i="22"/>
  <c r="J16" i="21"/>
  <c r="J35" i="21"/>
  <c r="J53" i="21"/>
  <c r="J34" i="21"/>
  <c r="J8" i="21"/>
  <c r="J9" i="20"/>
  <c r="J25" i="20"/>
  <c r="J27" i="20"/>
  <c r="J43" i="20"/>
  <c r="J45" i="20"/>
  <c r="J18" i="20"/>
  <c r="J35" i="20"/>
  <c r="J7" i="20"/>
  <c r="J8" i="20"/>
  <c r="J52" i="20"/>
  <c r="J53" i="20"/>
  <c r="J44" i="20"/>
  <c r="J54" i="16"/>
  <c r="J52" i="16"/>
  <c r="J53" i="16"/>
  <c r="B15" i="16" l="1"/>
  <c r="E64" i="16"/>
  <c r="C64" i="16"/>
  <c r="B64" i="16"/>
  <c r="E63" i="16"/>
  <c r="C63" i="16"/>
  <c r="B63" i="16"/>
  <c r="E62" i="16"/>
  <c r="C62" i="16"/>
  <c r="B62" i="16"/>
  <c r="E61" i="16"/>
  <c r="C61" i="16"/>
  <c r="B61" i="16"/>
  <c r="E60" i="16"/>
  <c r="C60" i="16"/>
  <c r="B60" i="16"/>
  <c r="E46" i="16"/>
  <c r="C46" i="16"/>
  <c r="B46" i="16"/>
  <c r="F45" i="16"/>
  <c r="E45" i="16"/>
  <c r="C45" i="16"/>
  <c r="B45" i="16"/>
  <c r="F44" i="16"/>
  <c r="E44" i="16"/>
  <c r="C44" i="16"/>
  <c r="B44" i="16"/>
  <c r="F43" i="16"/>
  <c r="E43" i="16"/>
  <c r="C43" i="16"/>
  <c r="B43" i="16"/>
  <c r="F42" i="16"/>
  <c r="E42" i="16"/>
  <c r="C42" i="16"/>
  <c r="B42" i="16"/>
  <c r="E37" i="16"/>
  <c r="C37" i="16"/>
  <c r="B37" i="16"/>
  <c r="F36" i="16"/>
  <c r="E36" i="16"/>
  <c r="C36" i="16"/>
  <c r="B36" i="16"/>
  <c r="F35" i="16"/>
  <c r="E35" i="16"/>
  <c r="C35" i="16"/>
  <c r="B35" i="16"/>
  <c r="F34" i="16"/>
  <c r="E34" i="16"/>
  <c r="C34" i="16"/>
  <c r="B34" i="16"/>
  <c r="F33" i="16"/>
  <c r="E33" i="16"/>
  <c r="C33" i="16"/>
  <c r="B33" i="16"/>
  <c r="E28" i="16"/>
  <c r="C28" i="16"/>
  <c r="B28" i="16"/>
  <c r="F27" i="16"/>
  <c r="E27" i="16"/>
  <c r="C27" i="16"/>
  <c r="B27" i="16"/>
  <c r="F26" i="16"/>
  <c r="E26" i="16"/>
  <c r="C26" i="16"/>
  <c r="B26" i="16"/>
  <c r="F25" i="16"/>
  <c r="E25" i="16"/>
  <c r="C25" i="16"/>
  <c r="B25" i="16"/>
  <c r="F24" i="16"/>
  <c r="E24" i="16"/>
  <c r="C24" i="16"/>
  <c r="B24" i="16"/>
  <c r="E19" i="16"/>
  <c r="C19" i="16"/>
  <c r="B19" i="16"/>
  <c r="F18" i="16"/>
  <c r="E18" i="16"/>
  <c r="C18" i="16"/>
  <c r="B18" i="16"/>
  <c r="F17" i="16"/>
  <c r="E17" i="16"/>
  <c r="C17" i="16"/>
  <c r="B17" i="16"/>
  <c r="F16" i="16"/>
  <c r="E16" i="16"/>
  <c r="C16" i="16"/>
  <c r="B16" i="16"/>
  <c r="F15" i="16"/>
  <c r="E15" i="16"/>
  <c r="C15" i="16"/>
  <c r="E10" i="16"/>
  <c r="C10" i="16"/>
  <c r="B10" i="16"/>
  <c r="F9" i="16"/>
  <c r="E9" i="16"/>
  <c r="C9" i="16"/>
  <c r="B9" i="16"/>
  <c r="F8" i="16"/>
  <c r="E8" i="16"/>
  <c r="C8" i="16"/>
  <c r="B8" i="16"/>
  <c r="F7" i="16"/>
  <c r="E7" i="16"/>
  <c r="C7" i="16"/>
  <c r="B7" i="16"/>
  <c r="F6" i="16"/>
  <c r="E6" i="16"/>
  <c r="C6" i="16"/>
  <c r="B6" i="16"/>
  <c r="D42" i="16" l="1"/>
  <c r="D43" i="16"/>
  <c r="G43" i="16" s="1"/>
  <c r="D44" i="16"/>
  <c r="G44" i="16" s="1"/>
  <c r="D45" i="16"/>
  <c r="G45" i="16" s="1"/>
  <c r="D46" i="16"/>
  <c r="D63" i="16"/>
  <c r="G63" i="16" s="1"/>
  <c r="D16" i="16"/>
  <c r="G16" i="16" s="1"/>
  <c r="D17" i="16"/>
  <c r="G17" i="16" s="1"/>
  <c r="D18" i="16"/>
  <c r="G18" i="16" s="1"/>
  <c r="D19" i="16"/>
  <c r="G19" i="16" s="1"/>
  <c r="D60" i="16"/>
  <c r="G60" i="16" s="1"/>
  <c r="D64" i="16"/>
  <c r="G64" i="16" s="1"/>
  <c r="D7" i="16"/>
  <c r="G7" i="16" s="1"/>
  <c r="D8" i="16"/>
  <c r="G8" i="16" s="1"/>
  <c r="D9" i="16"/>
  <c r="G9" i="16" s="1"/>
  <c r="D10" i="16"/>
  <c r="G10" i="16" s="1"/>
  <c r="D33" i="16"/>
  <c r="G33" i="16" s="1"/>
  <c r="D34" i="16"/>
  <c r="G34" i="16" s="1"/>
  <c r="D35" i="16"/>
  <c r="G35" i="16" s="1"/>
  <c r="D36" i="16"/>
  <c r="G36" i="16" s="1"/>
  <c r="D37" i="16"/>
  <c r="G37" i="16" s="1"/>
  <c r="D6" i="16"/>
  <c r="G6" i="16" s="1"/>
  <c r="D24" i="16"/>
  <c r="G24" i="16" s="1"/>
  <c r="D25" i="16"/>
  <c r="D26" i="16"/>
  <c r="G26" i="16" s="1"/>
  <c r="D27" i="16"/>
  <c r="G27" i="16" s="1"/>
  <c r="D28" i="16"/>
  <c r="G28" i="16" s="1"/>
  <c r="D15" i="16"/>
  <c r="G15" i="16" s="1"/>
  <c r="D61" i="16"/>
  <c r="G61" i="16" s="1"/>
  <c r="G42" i="16"/>
  <c r="D62" i="16"/>
  <c r="G62" i="16" s="1"/>
  <c r="G25" i="16"/>
  <c r="G46" i="16"/>
  <c r="I6" i="16" l="1"/>
  <c r="H6" i="16"/>
  <c r="H61" i="16"/>
  <c r="I61" i="16"/>
  <c r="H26" i="16"/>
  <c r="I26" i="16"/>
  <c r="H62" i="16"/>
  <c r="I62" i="16"/>
  <c r="I64" i="16"/>
  <c r="H64" i="16"/>
  <c r="H24" i="16"/>
  <c r="I24" i="16"/>
  <c r="H28" i="16"/>
  <c r="I28" i="16"/>
  <c r="I15" i="16"/>
  <c r="H15" i="16"/>
  <c r="H44" i="16"/>
  <c r="I44" i="16"/>
  <c r="H25" i="16"/>
  <c r="I25" i="16"/>
  <c r="I37" i="16"/>
  <c r="H37" i="16"/>
  <c r="I45" i="16"/>
  <c r="H45" i="16"/>
  <c r="H19" i="16"/>
  <c r="I19" i="16"/>
  <c r="H36" i="16"/>
  <c r="I36" i="16"/>
  <c r="H63" i="16"/>
  <c r="I63" i="16"/>
  <c r="I33" i="16"/>
  <c r="H33" i="16"/>
  <c r="I8" i="16"/>
  <c r="H8" i="16"/>
  <c r="H16" i="16"/>
  <c r="I16" i="16"/>
  <c r="H43" i="16"/>
  <c r="I43" i="16"/>
  <c r="H9" i="16"/>
  <c r="I9" i="16"/>
  <c r="H17" i="16"/>
  <c r="I17" i="16"/>
  <c r="I27" i="16"/>
  <c r="H27" i="16"/>
  <c r="I35" i="16"/>
  <c r="H35" i="16"/>
  <c r="I42" i="16"/>
  <c r="H42" i="16"/>
  <c r="I7" i="16"/>
  <c r="H7" i="16"/>
  <c r="I34" i="16"/>
  <c r="H34" i="16"/>
  <c r="H46" i="16"/>
  <c r="I46" i="16"/>
  <c r="H10" i="16"/>
  <c r="I10" i="16"/>
  <c r="H18" i="16"/>
  <c r="I18" i="16"/>
  <c r="I60" i="16"/>
  <c r="H60" i="16"/>
  <c r="J36" i="16" l="1"/>
  <c r="J46" i="16"/>
  <c r="J35" i="16"/>
  <c r="J6" i="16"/>
  <c r="J60" i="16"/>
  <c r="J10" i="16"/>
  <c r="J34" i="16"/>
  <c r="J42" i="16"/>
  <c r="J27" i="16"/>
  <c r="J33" i="16"/>
  <c r="J7" i="16"/>
  <c r="J17" i="16"/>
  <c r="J37" i="16"/>
  <c r="J44" i="16"/>
  <c r="J9" i="16"/>
  <c r="J25" i="16"/>
  <c r="J24" i="16"/>
  <c r="J8" i="16"/>
  <c r="J26" i="16"/>
  <c r="J16" i="16"/>
  <c r="J18" i="16"/>
  <c r="J63" i="16"/>
  <c r="J61" i="16"/>
  <c r="J62" i="16"/>
  <c r="J45" i="16"/>
  <c r="J15" i="16"/>
  <c r="J43" i="16"/>
  <c r="J19" i="16"/>
  <c r="J64" i="16"/>
  <c r="J28" i="16"/>
</calcChain>
</file>

<file path=xl/sharedStrings.xml><?xml version="1.0" encoding="utf-8"?>
<sst xmlns="http://schemas.openxmlformats.org/spreadsheetml/2006/main" count="588" uniqueCount="40">
  <si>
    <t>totale</t>
  </si>
  <si>
    <t>tot.lordo senza oneri</t>
  </si>
  <si>
    <t>c1</t>
  </si>
  <si>
    <t>d1</t>
  </si>
  <si>
    <t>ep1</t>
  </si>
  <si>
    <t>TABELLE STIPENDI MENSILI  PERSONALE A TEMPO DETERMINATO</t>
  </si>
  <si>
    <t>IVC</t>
  </si>
  <si>
    <t>indenn. ateneo</t>
  </si>
  <si>
    <t>stip. base con IIS conglobata</t>
  </si>
  <si>
    <t>*</t>
  </si>
  <si>
    <t>Valore annuo tabellare</t>
  </si>
  <si>
    <t>13 ma</t>
  </si>
  <si>
    <t>Elemento perequativo</t>
  </si>
  <si>
    <t>oneri *</t>
  </si>
  <si>
    <t>costo mensile</t>
  </si>
  <si>
    <t>CCNL economico siglato il 6 dicembre 2022 valido dal 01/01/2019 al 31/12/2019</t>
  </si>
  <si>
    <t>CCNL economico siglato il 6 dicembre 2022 valido dal 01/01/2020 al 31/12/2020</t>
  </si>
  <si>
    <t>b1</t>
  </si>
  <si>
    <t>b3</t>
  </si>
  <si>
    <t>Inq</t>
  </si>
  <si>
    <t>Indennità di Ateneo</t>
  </si>
  <si>
    <t>CCNL economico siglato il 6 dicembre 2022 valido dal 01/01/2021 al 31/03/2022</t>
  </si>
  <si>
    <t>CCNL economico siglato il 6 dicembre 2022 valido dal 01/04/2022 al 30/06/2022</t>
  </si>
  <si>
    <t>CCNL economico siglato il 6 dicembre 2022 valido dal 01/02/2023</t>
  </si>
  <si>
    <t xml:space="preserve">   COSTI PER PERSONALE SU fondi BILANCIO INPDAP (uguali o superiori all'anno)</t>
  </si>
  <si>
    <t>ONERI A CARICO DELL'AMMINISTRAZIONE:</t>
  </si>
  <si>
    <t>INPDAP FONDO PENSIONE-</t>
  </si>
  <si>
    <t>24,20% sul 100%</t>
  </si>
  <si>
    <t>INPDAP TFR- 9,60% DELL'80%  DELLA RETRIBUZIONE=</t>
  </si>
  <si>
    <t>7,68% solo su stipendio base e indennità di ateneo</t>
  </si>
  <si>
    <t>IRAP</t>
  </si>
  <si>
    <t>8,5% sul 100%</t>
  </si>
  <si>
    <t>INPS ASPI (EX DS)</t>
  </si>
  <si>
    <t>1,61% sul 100%</t>
  </si>
  <si>
    <t>Maggiorazione 18% del contributo Fondo Pensione</t>
  </si>
  <si>
    <t>4,36% sul solo stipendio base (calcolato solo per la cat. EP)</t>
  </si>
  <si>
    <t>CCNL economico siglato il 6 dicembre 2022 valido dal 01/07/2022 al 31/12/2022</t>
  </si>
  <si>
    <t>Elemento perequativo / Emolumento accessorio una tantum 2023</t>
  </si>
  <si>
    <t>CCNL economico siglato il 6 dicembre 2022 valido dal 01/01/2023 al 31/01/2023</t>
  </si>
  <si>
    <t>Emolumento accessorio una tantum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</si>
</sst>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1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41" fontId="7" fillId="0" borderId="0" xfId="1" applyFont="1" applyAlignment="1">
      <alignment vertical="center"/>
    </xf>
    <xf numFmtId="0" fontId="3" fillId="0" borderId="0" xfId="0" applyFont="1"/>
    <xf numFmtId="164" fontId="4" fillId="0" borderId="1" xfId="0" applyNumberFormat="1" applyFont="1" applyBorder="1"/>
    <xf numFmtId="0" fontId="4" fillId="0" borderId="0" xfId="2" applyFont="1"/>
    <xf numFmtId="10" fontId="4" fillId="0" borderId="0" xfId="2" applyNumberFormat="1" applyFont="1"/>
    <xf numFmtId="0" fontId="3" fillId="0" borderId="0" xfId="0" applyFont="1"/>
  </cellXfs>
  <cellStyles count="10">
    <cellStyle name="Migliaia [0]" xfId="1" builtinId="6"/>
    <cellStyle name="Migliaia [0] 2" xfId="4" xr:uid="{26934668-E0A8-4253-8579-8EE62A8C6929}"/>
    <cellStyle name="Migliaia [0] 2 2" xfId="9" xr:uid="{52F54C34-0D48-4713-AB6E-BD25FFD81F61}"/>
    <cellStyle name="Migliaia [0] 3" xfId="7" xr:uid="{5D91FB28-68F9-4CFC-84D0-AA7AC6A82302}"/>
    <cellStyle name="Migliaia 2" xfId="5" xr:uid="{689A7379-348D-4FD5-A84F-515D477F7E0E}"/>
    <cellStyle name="Migliaia 3" xfId="6" xr:uid="{7218FA9A-588C-4076-A76B-783995029A6F}"/>
    <cellStyle name="Normale" xfId="0" builtinId="0"/>
    <cellStyle name="Normale 2" xfId="3" xr:uid="{9E243965-672C-451D-BE08-3D003EC21397}"/>
    <cellStyle name="Normale 2 2" xfId="8" xr:uid="{26A1BA85-3066-43D8-9803-20CB5235D795}"/>
    <cellStyle name="Normale 3" xfId="2" xr:uid="{2CF7656B-75D9-4526-BC66-AAD6B9147C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895-82C2-4F7A-A6F9-3FB955E38823}">
  <sheetPr>
    <pageSetUpPr fitToPage="1"/>
  </sheetPr>
  <dimension ref="A1:P71"/>
  <sheetViews>
    <sheetView tabSelected="1" view="pageBreakPreview" topLeftCell="A43" zoomScaleSheetLayoutView="100" workbookViewId="0">
      <selection activeCell="O54" sqref="O54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9" width="12.28515625" style="1" customWidth="1"/>
    <col min="10" max="10" width="14.42578125" style="1" customWidth="1"/>
    <col min="11" max="11" width="13.28515625" style="1" customWidth="1"/>
    <col min="12" max="12" width="13.85546875" style="1" customWidth="1"/>
    <col min="13" max="13" width="9.42578125" style="1" bestFit="1" customWidth="1"/>
    <col min="14" max="14" width="11.28515625" style="1" bestFit="1" customWidth="1"/>
    <col min="15" max="15" width="16.42578125" style="1" bestFit="1" customWidth="1"/>
    <col min="16" max="16384" width="12.28515625" style="1"/>
  </cols>
  <sheetData>
    <row r="1" spans="1:16" x14ac:dyDescent="0.2">
      <c r="A1" s="32" t="s">
        <v>24</v>
      </c>
      <c r="B1" s="32"/>
      <c r="C1" s="32"/>
      <c r="D1" s="32"/>
      <c r="E1" s="32"/>
      <c r="F1" s="32"/>
      <c r="G1" s="32"/>
      <c r="J1" s="9"/>
      <c r="K1" s="9"/>
      <c r="L1" s="10"/>
    </row>
    <row r="2" spans="1:16" ht="15" x14ac:dyDescent="0.2">
      <c r="A2"/>
      <c r="B2" s="28" t="s">
        <v>5</v>
      </c>
      <c r="C2" s="28"/>
      <c r="D2" s="28"/>
      <c r="E2" s="28"/>
      <c r="F2" s="28"/>
      <c r="G2" s="28"/>
      <c r="H2" s="10"/>
      <c r="I2" s="10"/>
      <c r="J2" s="7">
        <v>1</v>
      </c>
      <c r="K2" s="13"/>
      <c r="L2" s="10"/>
      <c r="M2" s="10"/>
      <c r="N2" s="10"/>
    </row>
    <row r="3" spans="1:16" ht="29.25" customHeight="1" x14ac:dyDescent="0.2">
      <c r="B3" s="10"/>
      <c r="C3" s="10"/>
      <c r="D3" s="10"/>
      <c r="F3" s="14"/>
      <c r="G3" s="10"/>
      <c r="I3" s="10"/>
      <c r="J3" s="15" t="s">
        <v>15</v>
      </c>
      <c r="K3" s="9"/>
      <c r="L3" s="10"/>
      <c r="M3" s="10"/>
      <c r="N3" s="10"/>
    </row>
    <row r="4" spans="1:16" ht="38.25" x14ac:dyDescent="0.2">
      <c r="A4" s="5" t="s">
        <v>19</v>
      </c>
      <c r="B4" s="6" t="s">
        <v>8</v>
      </c>
      <c r="C4" s="6" t="s">
        <v>6</v>
      </c>
      <c r="D4" s="5" t="s">
        <v>11</v>
      </c>
      <c r="E4" s="6" t="s">
        <v>7</v>
      </c>
      <c r="F4" s="11" t="s">
        <v>12</v>
      </c>
      <c r="G4" s="5" t="s">
        <v>0</v>
      </c>
      <c r="H4" s="6" t="s">
        <v>1</v>
      </c>
      <c r="I4" s="6" t="s">
        <v>13</v>
      </c>
      <c r="J4" s="6" t="s">
        <v>14</v>
      </c>
      <c r="K4" s="8"/>
      <c r="L4" s="4" t="s">
        <v>10</v>
      </c>
      <c r="M4" s="16" t="s">
        <v>6</v>
      </c>
      <c r="N4" s="4" t="s">
        <v>20</v>
      </c>
      <c r="O4" s="3"/>
    </row>
    <row r="5" spans="1:16" ht="9.75" customHeight="1" x14ac:dyDescent="0.2">
      <c r="B5" s="2"/>
      <c r="C5" s="2"/>
      <c r="D5" s="2"/>
      <c r="E5" s="2"/>
      <c r="F5" s="12"/>
      <c r="G5" s="2"/>
      <c r="H5" s="2"/>
      <c r="I5" s="2"/>
      <c r="J5" s="2"/>
      <c r="K5" s="2"/>
      <c r="P5" s="17"/>
    </row>
    <row r="6" spans="1:16" ht="15" x14ac:dyDescent="0.2">
      <c r="A6" s="18" t="s">
        <v>17</v>
      </c>
      <c r="B6" s="19">
        <f>ROUND(L6/12*$J$2,2)</f>
        <v>1430.64</v>
      </c>
      <c r="C6" s="19">
        <f>ROUND(M6/12*$J$2,2)</f>
        <v>0</v>
      </c>
      <c r="D6" s="20">
        <f>ROUND((B6+C6)/12,2)</f>
        <v>119.22</v>
      </c>
      <c r="E6" s="19">
        <f>ROUND(N6/12*$J$2,2)</f>
        <v>100.76</v>
      </c>
      <c r="F6" s="20">
        <f>28*$J$2</f>
        <v>28</v>
      </c>
      <c r="G6" s="19">
        <f>SUM(B6:F6)</f>
        <v>1678.6200000000001</v>
      </c>
      <c r="H6" s="19">
        <f>ROUND(G6-(G6-F6)*2%,2)</f>
        <v>1645.61</v>
      </c>
      <c r="I6" s="29">
        <f>ROUND((G6-F6)*40.38%+F6*32.7%+(G6)*1.61%,2)</f>
        <v>702.7</v>
      </c>
      <c r="J6" s="22">
        <f t="shared" ref="J6:J7" si="0">H6+I6</f>
        <v>2348.31</v>
      </c>
      <c r="K6" s="23"/>
      <c r="L6" s="21">
        <v>17167.7</v>
      </c>
      <c r="M6" s="21"/>
      <c r="N6" s="21">
        <v>1209.06</v>
      </c>
      <c r="O6" s="24"/>
      <c r="P6" s="25"/>
    </row>
    <row r="7" spans="1:16" ht="15" x14ac:dyDescent="0.2">
      <c r="A7" s="18" t="s">
        <v>18</v>
      </c>
      <c r="B7" s="19">
        <f t="shared" ref="B7:C10" si="1">ROUND(L7/12*$J$2,2)</f>
        <v>1593.69</v>
      </c>
      <c r="C7" s="19">
        <f t="shared" si="1"/>
        <v>0</v>
      </c>
      <c r="D7" s="20">
        <f t="shared" ref="D7:D10" si="2">ROUND((B7+C7)/12,2)</f>
        <v>132.81</v>
      </c>
      <c r="E7" s="19">
        <f t="shared" ref="E7:E10" si="3">ROUND(N7/12*$J$2,2)</f>
        <v>100.76</v>
      </c>
      <c r="F7" s="20">
        <f>22*$J$2</f>
        <v>22</v>
      </c>
      <c r="G7" s="19">
        <f>SUM(B7:F7)</f>
        <v>1849.26</v>
      </c>
      <c r="H7" s="19">
        <f t="shared" ref="H7:H10" si="4">ROUND(G7-(G7-F7)*2%,2)</f>
        <v>1812.71</v>
      </c>
      <c r="I7" s="29">
        <f t="shared" ref="I7:I9" si="5">ROUND((G7-F7)*40.38%+F7*32.7%+(G7)*1.61%,2)</f>
        <v>774.81</v>
      </c>
      <c r="J7" s="22">
        <f t="shared" si="0"/>
        <v>2587.52</v>
      </c>
      <c r="K7" s="23"/>
      <c r="L7" s="21">
        <v>19124.23</v>
      </c>
      <c r="M7" s="21"/>
      <c r="N7" s="21">
        <v>1209.06</v>
      </c>
      <c r="O7" s="24"/>
      <c r="P7" s="25"/>
    </row>
    <row r="8" spans="1:16" ht="15" x14ac:dyDescent="0.2">
      <c r="A8" s="18" t="s">
        <v>2</v>
      </c>
      <c r="B8" s="19">
        <f t="shared" si="1"/>
        <v>1642.18</v>
      </c>
      <c r="C8" s="19">
        <f t="shared" si="1"/>
        <v>0</v>
      </c>
      <c r="D8" s="20">
        <f t="shared" si="2"/>
        <v>136.85</v>
      </c>
      <c r="E8" s="19">
        <f t="shared" si="3"/>
        <v>136.96</v>
      </c>
      <c r="F8" s="20">
        <f>20*$J$2</f>
        <v>20</v>
      </c>
      <c r="G8" s="19">
        <f t="shared" ref="G8:G10" si="6">SUM(B8:F8)</f>
        <v>1935.99</v>
      </c>
      <c r="H8" s="19">
        <f t="shared" si="4"/>
        <v>1897.67</v>
      </c>
      <c r="I8" s="29">
        <f t="shared" si="5"/>
        <v>811.39</v>
      </c>
      <c r="J8" s="22">
        <f>H8+I8</f>
        <v>2709.06</v>
      </c>
      <c r="K8" s="23"/>
      <c r="L8" s="21">
        <v>19706.2</v>
      </c>
      <c r="M8" s="21"/>
      <c r="N8" s="21">
        <v>1643.57</v>
      </c>
      <c r="O8" s="24"/>
      <c r="P8" s="25"/>
    </row>
    <row r="9" spans="1:16" ht="15" x14ac:dyDescent="0.2">
      <c r="A9" s="18" t="s">
        <v>3</v>
      </c>
      <c r="B9" s="19">
        <f t="shared" si="1"/>
        <v>1921.3</v>
      </c>
      <c r="C9" s="19">
        <f t="shared" si="1"/>
        <v>0</v>
      </c>
      <c r="D9" s="20">
        <f t="shared" si="2"/>
        <v>160.11000000000001</v>
      </c>
      <c r="E9" s="19">
        <f t="shared" si="3"/>
        <v>195.84</v>
      </c>
      <c r="F9" s="20">
        <f>9*$J$2</f>
        <v>9</v>
      </c>
      <c r="G9" s="19">
        <f t="shared" si="6"/>
        <v>2286.25</v>
      </c>
      <c r="H9" s="19">
        <f t="shared" si="4"/>
        <v>2240.71</v>
      </c>
      <c r="I9" s="29">
        <f t="shared" si="5"/>
        <v>959.31</v>
      </c>
      <c r="J9" s="22">
        <f>H9+I9</f>
        <v>3200.02</v>
      </c>
      <c r="K9" s="23"/>
      <c r="L9" s="21">
        <v>23055.63</v>
      </c>
      <c r="M9" s="21"/>
      <c r="N9" s="21">
        <v>2350.06</v>
      </c>
      <c r="O9" s="24"/>
      <c r="P9" s="25"/>
    </row>
    <row r="10" spans="1:16" ht="15" x14ac:dyDescent="0.2">
      <c r="A10" s="18" t="s">
        <v>4</v>
      </c>
      <c r="B10" s="19">
        <f t="shared" si="1"/>
        <v>2168.7399999999998</v>
      </c>
      <c r="C10" s="19">
        <f t="shared" si="1"/>
        <v>0</v>
      </c>
      <c r="D10" s="20">
        <f t="shared" si="2"/>
        <v>180.73</v>
      </c>
      <c r="E10" s="19">
        <f t="shared" si="3"/>
        <v>234.73</v>
      </c>
      <c r="F10" s="20"/>
      <c r="G10" s="19">
        <f t="shared" si="6"/>
        <v>2584.1999999999998</v>
      </c>
      <c r="H10" s="19">
        <f t="shared" si="4"/>
        <v>2532.52</v>
      </c>
      <c r="I10" s="29">
        <f>ROUND((G10-F10)*40.38%+(G10-F10)*1.61%+((B10+C10)-(556.86*$J$2))*4.36%,2)</f>
        <v>1155.3800000000001</v>
      </c>
      <c r="J10" s="22">
        <f>H10+I10</f>
        <v>3687.9</v>
      </c>
      <c r="K10" s="23"/>
      <c r="L10" s="21">
        <v>26024.85</v>
      </c>
      <c r="M10" s="21"/>
      <c r="N10" s="21">
        <v>2816.8</v>
      </c>
      <c r="O10" s="24"/>
      <c r="P10" s="25"/>
    </row>
    <row r="11" spans="1:16" x14ac:dyDescent="0.2">
      <c r="K11" s="23"/>
    </row>
    <row r="12" spans="1:16" ht="29.25" customHeight="1" x14ac:dyDescent="0.2">
      <c r="B12" s="10"/>
      <c r="C12" s="10"/>
      <c r="D12" s="10"/>
      <c r="G12" s="14"/>
      <c r="H12" s="10"/>
      <c r="J12" s="15" t="s">
        <v>16</v>
      </c>
      <c r="K12" s="23"/>
      <c r="L12" s="10"/>
      <c r="M12" s="10"/>
      <c r="N12" s="10"/>
    </row>
    <row r="13" spans="1:16" ht="38.25" x14ac:dyDescent="0.2">
      <c r="A13" s="5" t="s">
        <v>19</v>
      </c>
      <c r="B13" s="6" t="s">
        <v>8</v>
      </c>
      <c r="C13" s="6" t="s">
        <v>6</v>
      </c>
      <c r="D13" s="5" t="s">
        <v>11</v>
      </c>
      <c r="E13" s="6" t="s">
        <v>7</v>
      </c>
      <c r="F13" s="11" t="s">
        <v>12</v>
      </c>
      <c r="G13" s="5" t="s">
        <v>0</v>
      </c>
      <c r="H13" s="6" t="s">
        <v>1</v>
      </c>
      <c r="I13" s="6" t="s">
        <v>13</v>
      </c>
      <c r="J13" s="6" t="s">
        <v>14</v>
      </c>
      <c r="K13" s="23"/>
      <c r="L13" s="4" t="s">
        <v>10</v>
      </c>
      <c r="M13" s="16" t="s">
        <v>6</v>
      </c>
      <c r="N13" s="4" t="s">
        <v>20</v>
      </c>
      <c r="O13" s="3"/>
    </row>
    <row r="14" spans="1:16" ht="9.75" customHeight="1" x14ac:dyDescent="0.2">
      <c r="B14" s="2"/>
      <c r="C14" s="2"/>
      <c r="D14" s="2"/>
      <c r="E14" s="2"/>
      <c r="F14" s="12"/>
      <c r="G14" s="2"/>
      <c r="H14" s="2"/>
      <c r="I14" s="2"/>
      <c r="J14" s="2"/>
      <c r="K14" s="23"/>
      <c r="P14" s="17"/>
    </row>
    <row r="15" spans="1:16" ht="15" x14ac:dyDescent="0.2">
      <c r="A15" s="18" t="s">
        <v>17</v>
      </c>
      <c r="B15" s="19">
        <f>ROUND(L15/12*$J$2,2)</f>
        <v>1444.34</v>
      </c>
      <c r="C15" s="19">
        <f>ROUND(M15/12*$J$2,2)</f>
        <v>0</v>
      </c>
      <c r="D15" s="20">
        <f>ROUND((B15+C15)/12,2)</f>
        <v>120.36</v>
      </c>
      <c r="E15" s="19">
        <f>ROUND(N15/12*$J$2,2)</f>
        <v>100.76</v>
      </c>
      <c r="F15" s="20">
        <f>28*$J$2</f>
        <v>28</v>
      </c>
      <c r="G15" s="19">
        <f>SUM(B15:F15)</f>
        <v>1693.4599999999998</v>
      </c>
      <c r="H15" s="19">
        <f>ROUND(G15+F15-G15*2%,2)</f>
        <v>1687.59</v>
      </c>
      <c r="I15" s="29">
        <f>ROUND((G15-F15)*40.38%+F15*32.7%+(G15)*1.61%,2)</f>
        <v>708.93</v>
      </c>
      <c r="J15" s="22">
        <f t="shared" ref="J15:J16" si="7">H15+I15</f>
        <v>2396.52</v>
      </c>
      <c r="K15" s="23"/>
      <c r="L15" s="21">
        <v>17332.099999999999</v>
      </c>
      <c r="M15" s="21"/>
      <c r="N15" s="21">
        <v>1209.06</v>
      </c>
      <c r="O15" s="24"/>
      <c r="P15" s="25"/>
    </row>
    <row r="16" spans="1:16" ht="15" x14ac:dyDescent="0.2">
      <c r="A16" s="18" t="s">
        <v>18</v>
      </c>
      <c r="B16" s="19">
        <f t="shared" ref="B16:C19" si="8">ROUND(L16/12*$J$2,2)</f>
        <v>1607.39</v>
      </c>
      <c r="C16" s="19">
        <f t="shared" si="8"/>
        <v>0</v>
      </c>
      <c r="D16" s="20">
        <f t="shared" ref="D16:D19" si="9">ROUND((B16+C16)/12,2)</f>
        <v>133.94999999999999</v>
      </c>
      <c r="E16" s="19">
        <f t="shared" ref="E16:E19" si="10">ROUND(N16/12*$J$2,2)</f>
        <v>100.76</v>
      </c>
      <c r="F16" s="20">
        <f>22*$J$2</f>
        <v>22</v>
      </c>
      <c r="G16" s="19">
        <f>SUM(B16:F16)</f>
        <v>1864.1000000000001</v>
      </c>
      <c r="H16" s="19">
        <f t="shared" ref="H16:H19" si="11">ROUND(G16+F16-G16*2%,2)</f>
        <v>1848.82</v>
      </c>
      <c r="I16" s="29">
        <f t="shared" ref="I16:I18" si="12">ROUND((G16-F16)*40.38%+F16*32.7%+(G16)*1.61%,2)</f>
        <v>781.05</v>
      </c>
      <c r="J16" s="22">
        <f t="shared" si="7"/>
        <v>2629.87</v>
      </c>
      <c r="K16" s="23"/>
      <c r="L16" s="21">
        <v>19288.63</v>
      </c>
      <c r="M16" s="21"/>
      <c r="N16" s="21">
        <v>1209.06</v>
      </c>
      <c r="O16" s="24"/>
      <c r="P16" s="25"/>
    </row>
    <row r="17" spans="1:16" ht="15" x14ac:dyDescent="0.2">
      <c r="A17" s="18" t="s">
        <v>2</v>
      </c>
      <c r="B17" s="19">
        <f t="shared" si="8"/>
        <v>1656.78</v>
      </c>
      <c r="C17" s="19">
        <f t="shared" si="8"/>
        <v>0</v>
      </c>
      <c r="D17" s="20">
        <f t="shared" si="9"/>
        <v>138.07</v>
      </c>
      <c r="E17" s="19">
        <f t="shared" si="10"/>
        <v>136.96</v>
      </c>
      <c r="F17" s="20">
        <f>20*$J$2</f>
        <v>20</v>
      </c>
      <c r="G17" s="19">
        <f>SUM(B17:E17)</f>
        <v>1931.81</v>
      </c>
      <c r="H17" s="19">
        <f t="shared" si="11"/>
        <v>1913.17</v>
      </c>
      <c r="I17" s="29">
        <f t="shared" si="12"/>
        <v>809.63</v>
      </c>
      <c r="J17" s="22">
        <f>H17+I17</f>
        <v>2722.8</v>
      </c>
      <c r="K17" s="23"/>
      <c r="L17" s="21">
        <v>19881.400000000001</v>
      </c>
      <c r="M17" s="21"/>
      <c r="N17" s="21">
        <v>1643.57</v>
      </c>
      <c r="O17" s="24"/>
      <c r="P17" s="25"/>
    </row>
    <row r="18" spans="1:16" ht="15" x14ac:dyDescent="0.2">
      <c r="A18" s="18" t="s">
        <v>3</v>
      </c>
      <c r="B18" s="19">
        <f t="shared" si="8"/>
        <v>1938.2</v>
      </c>
      <c r="C18" s="19">
        <f t="shared" si="8"/>
        <v>0</v>
      </c>
      <c r="D18" s="20">
        <f t="shared" si="9"/>
        <v>161.52000000000001</v>
      </c>
      <c r="E18" s="19">
        <f t="shared" si="10"/>
        <v>195.84</v>
      </c>
      <c r="F18" s="20">
        <f>9*$J$2</f>
        <v>9</v>
      </c>
      <c r="G18" s="19">
        <f>SUM(B18:E18)</f>
        <v>2295.5600000000004</v>
      </c>
      <c r="H18" s="19">
        <f t="shared" si="11"/>
        <v>2258.65</v>
      </c>
      <c r="I18" s="29">
        <f t="shared" si="12"/>
        <v>963.21</v>
      </c>
      <c r="J18" s="22">
        <f>H18+I18</f>
        <v>3221.86</v>
      </c>
      <c r="K18" s="23"/>
      <c r="L18" s="21">
        <v>23258.43</v>
      </c>
      <c r="M18" s="21"/>
      <c r="N18" s="21">
        <v>2350.06</v>
      </c>
      <c r="O18" s="24"/>
      <c r="P18" s="25"/>
    </row>
    <row r="19" spans="1:16" ht="15" x14ac:dyDescent="0.2">
      <c r="A19" s="18" t="s">
        <v>4</v>
      </c>
      <c r="B19" s="19">
        <f t="shared" si="8"/>
        <v>2188.2399999999998</v>
      </c>
      <c r="C19" s="19">
        <f t="shared" si="8"/>
        <v>0</v>
      </c>
      <c r="D19" s="20">
        <f t="shared" si="9"/>
        <v>182.35</v>
      </c>
      <c r="E19" s="19">
        <f t="shared" si="10"/>
        <v>234.73</v>
      </c>
      <c r="F19" s="19"/>
      <c r="G19" s="19">
        <f>SUM(B19:E19)</f>
        <v>2605.3199999999997</v>
      </c>
      <c r="H19" s="19">
        <f t="shared" si="11"/>
        <v>2553.21</v>
      </c>
      <c r="I19" s="29">
        <f>ROUND((G19-F19)*40.38%+(G19-F19)*1.61%+((B19+C19)-(556.86*$J$2))*4.36%,2)</f>
        <v>1165.0999999999999</v>
      </c>
      <c r="J19" s="22">
        <f>H19+I19</f>
        <v>3718.31</v>
      </c>
      <c r="K19" s="23"/>
      <c r="L19" s="21">
        <v>26258.85</v>
      </c>
      <c r="M19" s="21"/>
      <c r="N19" s="21">
        <v>2816.8</v>
      </c>
      <c r="O19" s="24"/>
      <c r="P19" s="25"/>
    </row>
    <row r="20" spans="1:16" x14ac:dyDescent="0.2">
      <c r="K20" s="23"/>
    </row>
    <row r="21" spans="1:16" ht="29.25" customHeight="1" x14ac:dyDescent="0.2">
      <c r="B21" s="10"/>
      <c r="C21" s="10"/>
      <c r="D21" s="10"/>
      <c r="G21" s="14"/>
      <c r="H21" s="10"/>
      <c r="J21" s="15" t="s">
        <v>21</v>
      </c>
      <c r="K21" s="23"/>
      <c r="L21" s="9"/>
      <c r="M21" s="10"/>
      <c r="N21" s="10"/>
      <c r="O21" s="10"/>
    </row>
    <row r="22" spans="1:16" ht="38.25" x14ac:dyDescent="0.2">
      <c r="A22" s="5" t="s">
        <v>19</v>
      </c>
      <c r="B22" s="6" t="s">
        <v>8</v>
      </c>
      <c r="C22" s="6" t="s">
        <v>6</v>
      </c>
      <c r="D22" s="5" t="s">
        <v>11</v>
      </c>
      <c r="E22" s="6" t="s">
        <v>7</v>
      </c>
      <c r="F22" s="6" t="s">
        <v>12</v>
      </c>
      <c r="G22" s="5" t="s">
        <v>0</v>
      </c>
      <c r="H22" s="6" t="s">
        <v>1</v>
      </c>
      <c r="I22" s="6" t="s">
        <v>13</v>
      </c>
      <c r="J22" s="6" t="s">
        <v>14</v>
      </c>
      <c r="K22" s="23"/>
      <c r="L22" s="4" t="s">
        <v>10</v>
      </c>
      <c r="M22" s="16" t="s">
        <v>6</v>
      </c>
      <c r="N22" s="4" t="s">
        <v>20</v>
      </c>
      <c r="O22" s="3"/>
    </row>
    <row r="23" spans="1:16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3"/>
      <c r="P23" s="17"/>
    </row>
    <row r="24" spans="1:16" ht="15" x14ac:dyDescent="0.2">
      <c r="A24" s="18" t="s">
        <v>17</v>
      </c>
      <c r="B24" s="19">
        <f>ROUND(L24/12*$J$2,2)</f>
        <v>1481.44</v>
      </c>
      <c r="C24" s="19">
        <f>ROUND(M24/12*$J$2,2)</f>
        <v>0</v>
      </c>
      <c r="D24" s="20">
        <f>ROUND((B24+C24)/12,2)</f>
        <v>123.45</v>
      </c>
      <c r="E24" s="19">
        <f>ROUND(N24/12*$J$2,2)</f>
        <v>103.85</v>
      </c>
      <c r="F24" s="20">
        <f>28*$J$2</f>
        <v>28</v>
      </c>
      <c r="G24" s="19">
        <f>SUM(B24:F24)</f>
        <v>1736.74</v>
      </c>
      <c r="H24" s="19">
        <f>ROUND(G24+F24-G24*2%,2)</f>
        <v>1730.01</v>
      </c>
      <c r="I24" s="29">
        <f>ROUND((G24-F24)*40.38%+F24*32.7%+(G24)*1.61%,2)</f>
        <v>727.11</v>
      </c>
      <c r="J24" s="22">
        <f t="shared" ref="J24:J25" si="13">H24+I24</f>
        <v>2457.12</v>
      </c>
      <c r="K24" s="23"/>
      <c r="L24" s="21">
        <v>17777.3</v>
      </c>
      <c r="M24" s="21"/>
      <c r="N24" s="21">
        <v>1246.1600000000001</v>
      </c>
      <c r="O24" s="24"/>
      <c r="P24" s="25"/>
    </row>
    <row r="25" spans="1:16" ht="15" x14ac:dyDescent="0.2">
      <c r="A25" s="18" t="s">
        <v>18</v>
      </c>
      <c r="B25" s="19">
        <f t="shared" ref="B25:C28" si="14">ROUND(L25/12*$J$2,2)</f>
        <v>1644.49</v>
      </c>
      <c r="C25" s="19">
        <f t="shared" si="14"/>
        <v>0</v>
      </c>
      <c r="D25" s="20">
        <f t="shared" ref="D25:D28" si="15">ROUND((B25+C25)/12,2)</f>
        <v>137.04</v>
      </c>
      <c r="E25" s="19">
        <f t="shared" ref="E25:E28" si="16">ROUND(N25/12*$J$2,2)</f>
        <v>103.85</v>
      </c>
      <c r="F25" s="20">
        <f>22*$J$2</f>
        <v>22</v>
      </c>
      <c r="G25" s="19">
        <f>SUM(B25:F25)</f>
        <v>1907.3799999999999</v>
      </c>
      <c r="H25" s="19">
        <f t="shared" ref="H25:H28" si="17">ROUND(G25+F25-G25*2%,2)</f>
        <v>1891.23</v>
      </c>
      <c r="I25" s="29">
        <f t="shared" ref="I25:I27" si="18">ROUND((G25-F25)*40.38%+F25*32.7%+(G25)*1.61%,2)</f>
        <v>799.22</v>
      </c>
      <c r="J25" s="22">
        <f t="shared" si="13"/>
        <v>2690.45</v>
      </c>
      <c r="K25" s="23"/>
      <c r="L25" s="21">
        <v>19733.830000000002</v>
      </c>
      <c r="M25" s="21"/>
      <c r="N25" s="21">
        <v>1246.1600000000001</v>
      </c>
      <c r="O25" s="24"/>
      <c r="P25" s="25"/>
    </row>
    <row r="26" spans="1:16" ht="15" x14ac:dyDescent="0.2">
      <c r="A26" s="18" t="s">
        <v>2</v>
      </c>
      <c r="B26" s="19">
        <f t="shared" si="14"/>
        <v>1696.18</v>
      </c>
      <c r="C26" s="19">
        <f t="shared" si="14"/>
        <v>0</v>
      </c>
      <c r="D26" s="20">
        <f t="shared" si="15"/>
        <v>141.35</v>
      </c>
      <c r="E26" s="19">
        <f t="shared" si="16"/>
        <v>141.16</v>
      </c>
      <c r="F26" s="20">
        <f>20*$J$2</f>
        <v>20</v>
      </c>
      <c r="G26" s="19">
        <f>SUM(B26:F26)</f>
        <v>1998.69</v>
      </c>
      <c r="H26" s="19">
        <f t="shared" si="17"/>
        <v>1978.72</v>
      </c>
      <c r="I26" s="29">
        <f t="shared" si="18"/>
        <v>837.71</v>
      </c>
      <c r="J26" s="22">
        <f>H26+I26</f>
        <v>2816.4300000000003</v>
      </c>
      <c r="K26" s="23"/>
      <c r="L26" s="21">
        <v>20354.2</v>
      </c>
      <c r="M26" s="21"/>
      <c r="N26" s="21">
        <v>1693.97</v>
      </c>
      <c r="O26" s="24"/>
      <c r="P26" s="25"/>
    </row>
    <row r="27" spans="1:16" ht="15" x14ac:dyDescent="0.2">
      <c r="A27" s="18" t="s">
        <v>3</v>
      </c>
      <c r="B27" s="19">
        <f t="shared" si="14"/>
        <v>1983.9</v>
      </c>
      <c r="C27" s="19">
        <f t="shared" si="14"/>
        <v>0</v>
      </c>
      <c r="D27" s="20">
        <f t="shared" si="15"/>
        <v>165.33</v>
      </c>
      <c r="E27" s="19">
        <f t="shared" si="16"/>
        <v>201.85</v>
      </c>
      <c r="F27" s="20">
        <f>9*$J$2</f>
        <v>9</v>
      </c>
      <c r="G27" s="19">
        <f>SUM(B27:F27)</f>
        <v>2360.08</v>
      </c>
      <c r="H27" s="19">
        <f t="shared" si="17"/>
        <v>2321.88</v>
      </c>
      <c r="I27" s="29">
        <f t="shared" si="18"/>
        <v>990.31</v>
      </c>
      <c r="J27" s="22">
        <f>H27+I27</f>
        <v>3312.19</v>
      </c>
      <c r="K27" s="23"/>
      <c r="L27" s="21">
        <v>23806.83</v>
      </c>
      <c r="M27" s="21"/>
      <c r="N27" s="21">
        <v>2422.16</v>
      </c>
      <c r="O27" s="24"/>
      <c r="P27" s="25"/>
    </row>
    <row r="28" spans="1:16" ht="15" x14ac:dyDescent="0.2">
      <c r="A28" s="18" t="s">
        <v>4</v>
      </c>
      <c r="B28" s="19">
        <f t="shared" si="14"/>
        <v>2240.84</v>
      </c>
      <c r="C28" s="19">
        <f t="shared" si="14"/>
        <v>0</v>
      </c>
      <c r="D28" s="20">
        <f t="shared" si="15"/>
        <v>186.74</v>
      </c>
      <c r="E28" s="19">
        <f t="shared" si="16"/>
        <v>242.45</v>
      </c>
      <c r="F28" s="19"/>
      <c r="G28" s="19">
        <f>SUM(B28:F28)</f>
        <v>2670.0299999999997</v>
      </c>
      <c r="H28" s="19">
        <f t="shared" si="17"/>
        <v>2616.63</v>
      </c>
      <c r="I28" s="29">
        <f>ROUND((G28-F28)*40.38%+(G28-F28)*1.61%+((B28+C28)-(556.86*$J$2))*4.36%,2)</f>
        <v>1194.57</v>
      </c>
      <c r="J28" s="22">
        <f>H28+I28</f>
        <v>3811.2</v>
      </c>
      <c r="K28" s="23"/>
      <c r="L28" s="21">
        <v>26890.05</v>
      </c>
      <c r="M28" s="21"/>
      <c r="N28" s="21">
        <v>2909.4</v>
      </c>
      <c r="O28" s="24"/>
      <c r="P28" s="25"/>
    </row>
    <row r="29" spans="1:16" x14ac:dyDescent="0.2">
      <c r="K29" s="23"/>
    </row>
    <row r="30" spans="1:16" ht="29.25" customHeight="1" x14ac:dyDescent="0.2">
      <c r="B30" s="10"/>
      <c r="C30" s="10"/>
      <c r="D30" s="10"/>
      <c r="G30" s="14"/>
      <c r="H30" s="10"/>
      <c r="J30" s="15" t="s">
        <v>22</v>
      </c>
      <c r="K30" s="23"/>
      <c r="L30" s="9"/>
      <c r="M30" s="10"/>
      <c r="N30" s="10"/>
      <c r="O30" s="10"/>
    </row>
    <row r="31" spans="1:16" ht="38.25" x14ac:dyDescent="0.2">
      <c r="A31" s="5" t="s">
        <v>19</v>
      </c>
      <c r="B31" s="6" t="s">
        <v>8</v>
      </c>
      <c r="C31" s="6" t="s">
        <v>6</v>
      </c>
      <c r="D31" s="5" t="s">
        <v>11</v>
      </c>
      <c r="E31" s="6" t="s">
        <v>7</v>
      </c>
      <c r="F31" s="6" t="s">
        <v>12</v>
      </c>
      <c r="G31" s="5" t="s">
        <v>0</v>
      </c>
      <c r="H31" s="6" t="s">
        <v>1</v>
      </c>
      <c r="I31" s="6" t="s">
        <v>13</v>
      </c>
      <c r="J31" s="6" t="s">
        <v>14</v>
      </c>
      <c r="K31" s="23"/>
      <c r="L31" s="4" t="s">
        <v>10</v>
      </c>
      <c r="M31" s="16" t="s">
        <v>6</v>
      </c>
      <c r="N31" s="4" t="s">
        <v>20</v>
      </c>
      <c r="O31" s="3"/>
    </row>
    <row r="32" spans="1:16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3"/>
      <c r="P32" s="17"/>
    </row>
    <row r="33" spans="1:16" ht="15" x14ac:dyDescent="0.2">
      <c r="A33" s="18" t="s">
        <v>17</v>
      </c>
      <c r="B33" s="19">
        <f>ROUND(L33/12*$J$2,2)</f>
        <v>1481.44</v>
      </c>
      <c r="C33" s="19">
        <f>ROUND(M33/12*$J$2,2)</f>
        <v>4.4400000000000004</v>
      </c>
      <c r="D33" s="20">
        <f>ROUND((B33+C33)/12,2)</f>
        <v>123.82</v>
      </c>
      <c r="E33" s="19">
        <f>ROUND(N33/12*$J$2,2)</f>
        <v>103.85</v>
      </c>
      <c r="F33" s="20">
        <f>28*$J$2</f>
        <v>28</v>
      </c>
      <c r="G33" s="19">
        <f>SUM(B33:F33)</f>
        <v>1741.55</v>
      </c>
      <c r="H33" s="19">
        <f>ROUND(G33+F33-G33*2%,2)</f>
        <v>1734.72</v>
      </c>
      <c r="I33" s="29">
        <f>ROUND((G33-F33)*40.38%+F33*32.7%+(G33)*1.61%,2)</f>
        <v>729.13</v>
      </c>
      <c r="J33" s="22">
        <f t="shared" ref="J33:J34" si="19">H33+I33</f>
        <v>2463.85</v>
      </c>
      <c r="K33" s="23"/>
      <c r="L33" s="21">
        <v>17777.3</v>
      </c>
      <c r="M33" s="21">
        <v>53.28</v>
      </c>
      <c r="N33" s="21">
        <v>1246.1600000000001</v>
      </c>
      <c r="O33" s="24"/>
      <c r="P33" s="25"/>
    </row>
    <row r="34" spans="1:16" ht="15" x14ac:dyDescent="0.2">
      <c r="A34" s="18" t="s">
        <v>18</v>
      </c>
      <c r="B34" s="19">
        <f t="shared" ref="B34:C37" si="20">ROUND(L34/12*$J$2,2)</f>
        <v>1644.49</v>
      </c>
      <c r="C34" s="19">
        <f t="shared" si="20"/>
        <v>4.93</v>
      </c>
      <c r="D34" s="20">
        <f t="shared" ref="D34:D37" si="21">ROUND((B34+C34)/12,2)</f>
        <v>137.44999999999999</v>
      </c>
      <c r="E34" s="19">
        <f t="shared" ref="E34:E37" si="22">ROUND(N34/12*$J$2,2)</f>
        <v>103.85</v>
      </c>
      <c r="F34" s="20">
        <f>22*$J$2</f>
        <v>22</v>
      </c>
      <c r="G34" s="19">
        <f>SUM(B34:F34)</f>
        <v>1912.72</v>
      </c>
      <c r="H34" s="19">
        <f t="shared" ref="H34:H37" si="23">ROUND(G34+F34-G34*2%,2)</f>
        <v>1896.47</v>
      </c>
      <c r="I34" s="29">
        <f t="shared" ref="I34:I36" si="24">ROUND((G34-F34)*40.38%+F34*32.7%+(G34)*1.61%,2)</f>
        <v>801.46</v>
      </c>
      <c r="J34" s="22">
        <f t="shared" si="19"/>
        <v>2697.9300000000003</v>
      </c>
      <c r="K34" s="23"/>
      <c r="L34" s="21">
        <v>19733.830000000002</v>
      </c>
      <c r="M34" s="21">
        <v>59.16</v>
      </c>
      <c r="N34" s="21">
        <v>1246.1600000000001</v>
      </c>
      <c r="O34" s="24"/>
      <c r="P34" s="25"/>
    </row>
    <row r="35" spans="1:16" ht="15" x14ac:dyDescent="0.2">
      <c r="A35" s="18" t="s">
        <v>2</v>
      </c>
      <c r="B35" s="19">
        <f t="shared" si="20"/>
        <v>1696.18</v>
      </c>
      <c r="C35" s="19">
        <f t="shared" si="20"/>
        <v>5.09</v>
      </c>
      <c r="D35" s="20">
        <f t="shared" si="21"/>
        <v>141.77000000000001</v>
      </c>
      <c r="E35" s="19">
        <f t="shared" si="22"/>
        <v>141.16</v>
      </c>
      <c r="F35" s="20">
        <f>20*$J$2</f>
        <v>20</v>
      </c>
      <c r="G35" s="19">
        <f>SUM(B35:F35)</f>
        <v>2004.2</v>
      </c>
      <c r="H35" s="19">
        <f t="shared" si="23"/>
        <v>1984.12</v>
      </c>
      <c r="I35" s="29">
        <f t="shared" si="24"/>
        <v>840.03</v>
      </c>
      <c r="J35" s="22">
        <f>H35+I35</f>
        <v>2824.1499999999996</v>
      </c>
      <c r="K35" s="23"/>
      <c r="L35" s="21">
        <v>20354.2</v>
      </c>
      <c r="M35" s="21">
        <v>61.08</v>
      </c>
      <c r="N35" s="21">
        <v>1693.97</v>
      </c>
      <c r="O35" s="24"/>
      <c r="P35" s="25"/>
    </row>
    <row r="36" spans="1:16" ht="15" x14ac:dyDescent="0.2">
      <c r="A36" s="18" t="s">
        <v>3</v>
      </c>
      <c r="B36" s="19">
        <f t="shared" si="20"/>
        <v>1983.9</v>
      </c>
      <c r="C36" s="19">
        <f t="shared" si="20"/>
        <v>5.95</v>
      </c>
      <c r="D36" s="20">
        <f t="shared" si="21"/>
        <v>165.82</v>
      </c>
      <c r="E36" s="19">
        <f t="shared" si="22"/>
        <v>201.85</v>
      </c>
      <c r="F36" s="20">
        <f>9*$J$2</f>
        <v>9</v>
      </c>
      <c r="G36" s="19">
        <f>SUM(B36:F36)</f>
        <v>2366.52</v>
      </c>
      <c r="H36" s="19">
        <f t="shared" si="23"/>
        <v>2328.19</v>
      </c>
      <c r="I36" s="29">
        <f t="shared" si="24"/>
        <v>993.01</v>
      </c>
      <c r="J36" s="22">
        <f>H36+I36</f>
        <v>3321.2</v>
      </c>
      <c r="K36" s="23"/>
      <c r="L36" s="21">
        <v>23806.83</v>
      </c>
      <c r="M36" s="21">
        <v>71.400000000000006</v>
      </c>
      <c r="N36" s="21">
        <v>2422.16</v>
      </c>
      <c r="O36" s="24"/>
      <c r="P36" s="25"/>
    </row>
    <row r="37" spans="1:16" ht="15" x14ac:dyDescent="0.2">
      <c r="A37" s="18" t="s">
        <v>4</v>
      </c>
      <c r="B37" s="19">
        <f t="shared" si="20"/>
        <v>2240.84</v>
      </c>
      <c r="C37" s="19">
        <f t="shared" si="20"/>
        <v>6.72</v>
      </c>
      <c r="D37" s="20">
        <f t="shared" si="21"/>
        <v>187.3</v>
      </c>
      <c r="E37" s="19">
        <f t="shared" si="22"/>
        <v>242.45</v>
      </c>
      <c r="F37" s="19"/>
      <c r="G37" s="19">
        <f>SUM(B37:F37)</f>
        <v>2677.31</v>
      </c>
      <c r="H37" s="19">
        <f t="shared" si="23"/>
        <v>2623.76</v>
      </c>
      <c r="I37" s="29">
        <f>ROUND((G37-F37)*40.38%+(G37-F37)*1.61%+((B37+C37)-(556.86*$J$2))*4.36%,2)</f>
        <v>1197.92</v>
      </c>
      <c r="J37" s="22">
        <f>H37+I37</f>
        <v>3821.6800000000003</v>
      </c>
      <c r="K37" s="23"/>
      <c r="L37" s="21">
        <v>26890.05</v>
      </c>
      <c r="M37" s="21">
        <v>80.64</v>
      </c>
      <c r="N37" s="21">
        <v>2909.4</v>
      </c>
      <c r="O37" s="24"/>
      <c r="P37" s="25"/>
    </row>
    <row r="38" spans="1:16" x14ac:dyDescent="0.2">
      <c r="K38" s="23"/>
    </row>
    <row r="39" spans="1:16" ht="29.25" customHeight="1" x14ac:dyDescent="0.2">
      <c r="B39" s="10"/>
      <c r="C39" s="10"/>
      <c r="D39" s="10"/>
      <c r="G39" s="14"/>
      <c r="H39" s="10"/>
      <c r="J39" s="15" t="s">
        <v>36</v>
      </c>
      <c r="K39" s="23"/>
      <c r="L39" s="9"/>
      <c r="M39" s="10"/>
      <c r="N39" s="10"/>
      <c r="O39" s="10"/>
    </row>
    <row r="40" spans="1:16" ht="38.25" x14ac:dyDescent="0.2">
      <c r="A40" s="5" t="s">
        <v>19</v>
      </c>
      <c r="B40" s="6" t="s">
        <v>8</v>
      </c>
      <c r="C40" s="6" t="s">
        <v>6</v>
      </c>
      <c r="D40" s="5" t="s">
        <v>11</v>
      </c>
      <c r="E40" s="6" t="s">
        <v>7</v>
      </c>
      <c r="F40" s="6" t="s">
        <v>12</v>
      </c>
      <c r="G40" s="5" t="s">
        <v>0</v>
      </c>
      <c r="H40" s="6" t="s">
        <v>1</v>
      </c>
      <c r="I40" s="6" t="s">
        <v>13</v>
      </c>
      <c r="J40" s="6" t="s">
        <v>14</v>
      </c>
      <c r="K40" s="23"/>
      <c r="L40" s="4" t="s">
        <v>10</v>
      </c>
      <c r="M40" s="16" t="s">
        <v>6</v>
      </c>
      <c r="N40" s="4" t="s">
        <v>20</v>
      </c>
      <c r="O40" s="3"/>
    </row>
    <row r="41" spans="1:16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3"/>
      <c r="P41" s="17"/>
    </row>
    <row r="42" spans="1:16" ht="15" x14ac:dyDescent="0.2">
      <c r="A42" s="18" t="s">
        <v>17</v>
      </c>
      <c r="B42" s="19">
        <f>ROUND(L42/12*$J$2,2)</f>
        <v>1481.44</v>
      </c>
      <c r="C42" s="19">
        <f>ROUND(M42/12*$J$2,2)</f>
        <v>7.41</v>
      </c>
      <c r="D42" s="20">
        <f>ROUND((B42+C42)/12,2)</f>
        <v>124.07</v>
      </c>
      <c r="E42" s="19">
        <f>ROUND(N42/12*$J$2,2)</f>
        <v>103.85</v>
      </c>
      <c r="F42" s="20">
        <f>28*$J$2</f>
        <v>28</v>
      </c>
      <c r="G42" s="19">
        <f>SUM(B42:F42)</f>
        <v>1744.77</v>
      </c>
      <c r="H42" s="19">
        <f>ROUND(G42+F42-G42*2%,2)</f>
        <v>1737.87</v>
      </c>
      <c r="I42" s="29">
        <f>ROUND((G42-F42)*40.38%+F42*32.7%+(G42)*1.61%,2)</f>
        <v>730.48</v>
      </c>
      <c r="J42" s="22">
        <f>H42+I42</f>
        <v>2468.35</v>
      </c>
      <c r="K42" s="23"/>
      <c r="L42" s="21">
        <v>17777.3</v>
      </c>
      <c r="M42" s="21">
        <v>88.92</v>
      </c>
      <c r="N42" s="21">
        <v>1246.1600000000001</v>
      </c>
      <c r="O42" s="24"/>
      <c r="P42" s="25"/>
    </row>
    <row r="43" spans="1:16" ht="15" x14ac:dyDescent="0.2">
      <c r="A43" s="18" t="s">
        <v>18</v>
      </c>
      <c r="B43" s="19">
        <f t="shared" ref="B43:C46" si="25">ROUND(L43/12*$J$2,2)</f>
        <v>1644.49</v>
      </c>
      <c r="C43" s="19">
        <f t="shared" si="25"/>
        <v>8.2200000000000006</v>
      </c>
      <c r="D43" s="20">
        <f t="shared" ref="D43:D46" si="26">ROUND((B43+C43)/12,2)</f>
        <v>137.72999999999999</v>
      </c>
      <c r="E43" s="19">
        <f t="shared" ref="E43:E46" si="27">ROUND(N43/12*$J$2,2)</f>
        <v>103.85</v>
      </c>
      <c r="F43" s="20">
        <f>22*$J$2</f>
        <v>22</v>
      </c>
      <c r="G43" s="19">
        <f>SUM(B43:F43)</f>
        <v>1916.29</v>
      </c>
      <c r="H43" s="19">
        <f t="shared" ref="H43:H46" si="28">ROUND(G43+F43-G43*2%,2)</f>
        <v>1899.96</v>
      </c>
      <c r="I43" s="29">
        <f t="shared" ref="I43:I45" si="29">ROUND((G43-F43)*40.38%+F43*32.7%+(G43)*1.61%,2)</f>
        <v>802.96</v>
      </c>
      <c r="J43" s="22">
        <f t="shared" ref="J43" si="30">H43+I43</f>
        <v>2702.92</v>
      </c>
      <c r="K43" s="23"/>
      <c r="L43" s="21">
        <v>19733.830000000002</v>
      </c>
      <c r="M43" s="21">
        <v>98.64</v>
      </c>
      <c r="N43" s="21">
        <v>1246.1600000000001</v>
      </c>
      <c r="O43" s="24"/>
      <c r="P43" s="25"/>
    </row>
    <row r="44" spans="1:16" ht="15" x14ac:dyDescent="0.2">
      <c r="A44" s="18" t="s">
        <v>2</v>
      </c>
      <c r="B44" s="19">
        <f t="shared" si="25"/>
        <v>1696.18</v>
      </c>
      <c r="C44" s="19">
        <f t="shared" si="25"/>
        <v>8.48</v>
      </c>
      <c r="D44" s="20">
        <f t="shared" si="26"/>
        <v>142.06</v>
      </c>
      <c r="E44" s="19">
        <f t="shared" si="27"/>
        <v>141.16</v>
      </c>
      <c r="F44" s="20">
        <f>20*$J$2</f>
        <v>20</v>
      </c>
      <c r="G44" s="19">
        <f>SUM(B44:F44)</f>
        <v>2007.88</v>
      </c>
      <c r="H44" s="19">
        <f t="shared" si="28"/>
        <v>1987.72</v>
      </c>
      <c r="I44" s="29">
        <f t="shared" si="29"/>
        <v>841.57</v>
      </c>
      <c r="J44" s="22">
        <f>H44+I44</f>
        <v>2829.29</v>
      </c>
      <c r="K44" s="23"/>
      <c r="L44" s="21">
        <v>20354.2</v>
      </c>
      <c r="M44" s="21">
        <v>101.76</v>
      </c>
      <c r="N44" s="21">
        <v>1693.97</v>
      </c>
      <c r="O44" s="24"/>
      <c r="P44" s="25"/>
    </row>
    <row r="45" spans="1:16" ht="15" x14ac:dyDescent="0.2">
      <c r="A45" s="18" t="s">
        <v>3</v>
      </c>
      <c r="B45" s="19">
        <f t="shared" si="25"/>
        <v>1983.9</v>
      </c>
      <c r="C45" s="19">
        <f t="shared" si="25"/>
        <v>9.92</v>
      </c>
      <c r="D45" s="20">
        <f t="shared" si="26"/>
        <v>166.15</v>
      </c>
      <c r="E45" s="19">
        <f t="shared" si="27"/>
        <v>201.85</v>
      </c>
      <c r="F45" s="20">
        <f>9*$J$2</f>
        <v>9</v>
      </c>
      <c r="G45" s="19">
        <f>SUM(B45:F45)</f>
        <v>2370.8200000000002</v>
      </c>
      <c r="H45" s="19">
        <f t="shared" si="28"/>
        <v>2332.4</v>
      </c>
      <c r="I45" s="29">
        <f t="shared" si="29"/>
        <v>994.82</v>
      </c>
      <c r="J45" s="22">
        <f>H45+I45</f>
        <v>3327.2200000000003</v>
      </c>
      <c r="K45" s="23"/>
      <c r="L45" s="21">
        <v>23806.83</v>
      </c>
      <c r="M45" s="21">
        <v>119.04</v>
      </c>
      <c r="N45" s="21">
        <v>2422.16</v>
      </c>
      <c r="O45" s="24"/>
      <c r="P45" s="25"/>
    </row>
    <row r="46" spans="1:16" ht="15" x14ac:dyDescent="0.2">
      <c r="A46" s="18" t="s">
        <v>4</v>
      </c>
      <c r="B46" s="19">
        <f t="shared" si="25"/>
        <v>2240.84</v>
      </c>
      <c r="C46" s="19">
        <f t="shared" si="25"/>
        <v>11.2</v>
      </c>
      <c r="D46" s="20">
        <f t="shared" si="26"/>
        <v>187.67</v>
      </c>
      <c r="E46" s="19">
        <f t="shared" si="27"/>
        <v>242.45</v>
      </c>
      <c r="F46" s="19"/>
      <c r="G46" s="19">
        <f>SUM(B46:F46)</f>
        <v>2682.16</v>
      </c>
      <c r="H46" s="19">
        <f t="shared" si="28"/>
        <v>2628.52</v>
      </c>
      <c r="I46" s="29">
        <f>ROUND((G46-F46)*40.38%+(G46-F46)*1.61%+((B46+C46)-(556.86*$J$2))*4.36%,2)</f>
        <v>1200.1500000000001</v>
      </c>
      <c r="J46" s="22">
        <f>H46+I46</f>
        <v>3828.67</v>
      </c>
      <c r="K46" s="23"/>
      <c r="L46" s="21">
        <v>26890.05</v>
      </c>
      <c r="M46" s="21">
        <v>134.4</v>
      </c>
      <c r="N46" s="21">
        <v>2909.4</v>
      </c>
      <c r="O46" s="24"/>
      <c r="P46" s="25"/>
    </row>
    <row r="47" spans="1:16" x14ac:dyDescent="0.2">
      <c r="K47" s="23"/>
    </row>
    <row r="48" spans="1:16" ht="29.25" customHeight="1" x14ac:dyDescent="0.2">
      <c r="B48" s="10"/>
      <c r="C48" s="10"/>
      <c r="D48" s="10"/>
      <c r="G48" s="14"/>
      <c r="H48" s="10"/>
      <c r="J48" s="15" t="s">
        <v>38</v>
      </c>
      <c r="K48" s="23"/>
      <c r="L48" s="9"/>
      <c r="M48" s="10"/>
      <c r="N48" s="10"/>
      <c r="O48" s="10"/>
    </row>
    <row r="49" spans="1:16" ht="89.25" x14ac:dyDescent="0.2">
      <c r="A49" s="5" t="s">
        <v>19</v>
      </c>
      <c r="B49" s="6" t="s">
        <v>8</v>
      </c>
      <c r="C49" s="6" t="s">
        <v>6</v>
      </c>
      <c r="D49" s="5" t="s">
        <v>11</v>
      </c>
      <c r="E49" s="6" t="s">
        <v>7</v>
      </c>
      <c r="F49" s="6" t="s">
        <v>37</v>
      </c>
      <c r="G49" s="5" t="s">
        <v>0</v>
      </c>
      <c r="H49" s="6" t="s">
        <v>1</v>
      </c>
      <c r="I49" s="6" t="s">
        <v>13</v>
      </c>
      <c r="J49" s="6" t="s">
        <v>14</v>
      </c>
      <c r="K49" s="23"/>
      <c r="L49" s="4" t="s">
        <v>10</v>
      </c>
      <c r="M49" s="16" t="s">
        <v>6</v>
      </c>
      <c r="N49" s="4" t="s">
        <v>20</v>
      </c>
      <c r="O49" s="3"/>
    </row>
    <row r="50" spans="1:16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3"/>
      <c r="P50" s="17"/>
    </row>
    <row r="51" spans="1:16" ht="15" x14ac:dyDescent="0.2">
      <c r="A51" s="18" t="s">
        <v>17</v>
      </c>
      <c r="B51" s="19">
        <f>ROUND(L51/12*$J$2,2)</f>
        <v>1481.44</v>
      </c>
      <c r="C51" s="19">
        <f>ROUND(M51/12*$J$2,2)</f>
        <v>7.41</v>
      </c>
      <c r="D51" s="20">
        <f>ROUND((B51+C51)/12,2)</f>
        <v>124.07</v>
      </c>
      <c r="E51" s="19">
        <f>ROUND(N51/12*$J$2,2)</f>
        <v>103.85</v>
      </c>
      <c r="F51" s="20">
        <f>(28+22.22)*$J$2</f>
        <v>50.22</v>
      </c>
      <c r="G51" s="19">
        <f>SUM(B51:F51)</f>
        <v>1766.99</v>
      </c>
      <c r="H51" s="19">
        <f>ROUND(G51+F51-G51*2%,2)</f>
        <v>1781.87</v>
      </c>
      <c r="I51" s="29">
        <f>ROUND((G51-F51)*40.38%+F51*32.7%+(G51)*1.61%,2)</f>
        <v>738.1</v>
      </c>
      <c r="J51" s="22">
        <f>H51+I51</f>
        <v>2519.9699999999998</v>
      </c>
      <c r="K51" s="23"/>
      <c r="L51" s="21">
        <v>17777.3</v>
      </c>
      <c r="M51" s="21">
        <v>88.92</v>
      </c>
      <c r="N51" s="21">
        <v>1246.1600000000001</v>
      </c>
      <c r="O51" s="24"/>
      <c r="P51" s="25"/>
    </row>
    <row r="52" spans="1:16" ht="15" x14ac:dyDescent="0.2">
      <c r="A52" s="18" t="s">
        <v>18</v>
      </c>
      <c r="B52" s="19">
        <f t="shared" ref="B52:B55" si="31">ROUND(L52/12*$J$2,2)</f>
        <v>1644.49</v>
      </c>
      <c r="C52" s="19">
        <f t="shared" ref="C52:C55" si="32">ROUND(M52/12*$J$2,2)</f>
        <v>8.2200000000000006</v>
      </c>
      <c r="D52" s="20">
        <f t="shared" ref="D52:D55" si="33">ROUND((B52+C52)/12,2)</f>
        <v>137.72999999999999</v>
      </c>
      <c r="E52" s="19">
        <f t="shared" ref="E52:E55" si="34">ROUND(N52/12*$J$2,2)</f>
        <v>103.85</v>
      </c>
      <c r="F52" s="20">
        <f>(22+24.67)*$J$2</f>
        <v>46.67</v>
      </c>
      <c r="G52" s="19">
        <f>SUM(B52:F52)</f>
        <v>1940.96</v>
      </c>
      <c r="H52" s="19">
        <f t="shared" ref="H52:H55" si="35">ROUND(G52+F52-G52*2%,2)</f>
        <v>1948.81</v>
      </c>
      <c r="I52" s="29">
        <f t="shared" ref="I52:I54" si="36">ROUND((G52-F52)*40.38%+F52*32.7%+(G52)*1.61%,2)</f>
        <v>811.42</v>
      </c>
      <c r="J52" s="22">
        <f t="shared" ref="J52" si="37">H52+I52</f>
        <v>2760.23</v>
      </c>
      <c r="K52" s="23"/>
      <c r="L52" s="21">
        <v>19733.830000000002</v>
      </c>
      <c r="M52" s="21">
        <v>98.64</v>
      </c>
      <c r="N52" s="21">
        <v>1246.1600000000001</v>
      </c>
      <c r="O52" s="24"/>
      <c r="P52" s="25"/>
    </row>
    <row r="53" spans="1:16" ht="15" x14ac:dyDescent="0.2">
      <c r="A53" s="18" t="s">
        <v>2</v>
      </c>
      <c r="B53" s="19">
        <f t="shared" si="31"/>
        <v>1696.18</v>
      </c>
      <c r="C53" s="19">
        <f t="shared" si="32"/>
        <v>8.48</v>
      </c>
      <c r="D53" s="20">
        <f t="shared" si="33"/>
        <v>142.06</v>
      </c>
      <c r="E53" s="19">
        <f t="shared" si="34"/>
        <v>141.16</v>
      </c>
      <c r="F53" s="20">
        <f>(20+25.44)*$J$2</f>
        <v>45.44</v>
      </c>
      <c r="G53" s="19">
        <f>SUM(B53:F53)</f>
        <v>2033.3200000000002</v>
      </c>
      <c r="H53" s="19">
        <f t="shared" si="35"/>
        <v>2038.09</v>
      </c>
      <c r="I53" s="29">
        <f t="shared" si="36"/>
        <v>850.3</v>
      </c>
      <c r="J53" s="22">
        <f>H53+I53</f>
        <v>2888.39</v>
      </c>
      <c r="K53" s="23"/>
      <c r="L53" s="21">
        <v>20354.2</v>
      </c>
      <c r="M53" s="21">
        <v>101.76</v>
      </c>
      <c r="N53" s="21">
        <v>1693.97</v>
      </c>
      <c r="O53" s="24"/>
      <c r="P53" s="25"/>
    </row>
    <row r="54" spans="1:16" ht="15" x14ac:dyDescent="0.2">
      <c r="A54" s="18" t="s">
        <v>3</v>
      </c>
      <c r="B54" s="19">
        <f t="shared" si="31"/>
        <v>1983.9</v>
      </c>
      <c r="C54" s="19">
        <f t="shared" si="32"/>
        <v>9.92</v>
      </c>
      <c r="D54" s="20">
        <f t="shared" si="33"/>
        <v>166.15</v>
      </c>
      <c r="E54" s="19">
        <f t="shared" si="34"/>
        <v>201.85</v>
      </c>
      <c r="F54" s="20">
        <f>(9+29.76)*$J$2</f>
        <v>38.760000000000005</v>
      </c>
      <c r="G54" s="19">
        <f>SUM(B54:F54)</f>
        <v>2400.5800000000004</v>
      </c>
      <c r="H54" s="19">
        <f t="shared" si="35"/>
        <v>2391.33</v>
      </c>
      <c r="I54" s="29">
        <f t="shared" si="36"/>
        <v>1005.03</v>
      </c>
      <c r="J54" s="22">
        <f>H54+I54</f>
        <v>3396.3599999999997</v>
      </c>
      <c r="K54" s="23"/>
      <c r="L54" s="21">
        <v>23806.83</v>
      </c>
      <c r="M54" s="21">
        <v>119.04</v>
      </c>
      <c r="N54" s="21">
        <v>2422.16</v>
      </c>
      <c r="O54" s="24"/>
      <c r="P54" s="25"/>
    </row>
    <row r="55" spans="1:16" ht="15" x14ac:dyDescent="0.2">
      <c r="A55" s="18" t="s">
        <v>4</v>
      </c>
      <c r="B55" s="19">
        <f t="shared" si="31"/>
        <v>2240.84</v>
      </c>
      <c r="C55" s="19">
        <f t="shared" si="32"/>
        <v>11.2</v>
      </c>
      <c r="D55" s="20">
        <f t="shared" si="33"/>
        <v>187.67</v>
      </c>
      <c r="E55" s="19">
        <f t="shared" si="34"/>
        <v>242.45</v>
      </c>
      <c r="F55" s="19">
        <f>33.61*$J$2</f>
        <v>33.61</v>
      </c>
      <c r="G55" s="19">
        <f>SUM(B55:F55)</f>
        <v>2715.77</v>
      </c>
      <c r="H55" s="19">
        <f t="shared" si="35"/>
        <v>2695.06</v>
      </c>
      <c r="I55" s="29">
        <f>ROUND((G55-F55)*40.38%+(G55-F55)*1.61%+((B55+C55)-(556.86*$J$2))*4.36%,2)</f>
        <v>1200.1500000000001</v>
      </c>
      <c r="J55" s="22">
        <f>H55+I55</f>
        <v>3895.21</v>
      </c>
      <c r="K55" s="23"/>
      <c r="L55" s="21">
        <v>26890.05</v>
      </c>
      <c r="M55" s="21">
        <v>134.4</v>
      </c>
      <c r="N55" s="21">
        <v>2909.4</v>
      </c>
      <c r="O55" s="24"/>
      <c r="P55" s="25"/>
    </row>
    <row r="56" spans="1:16" x14ac:dyDescent="0.2">
      <c r="K56" s="23"/>
    </row>
    <row r="57" spans="1:16" ht="29.25" customHeight="1" x14ac:dyDescent="0.2">
      <c r="B57" s="10"/>
      <c r="C57" s="10"/>
      <c r="D57" s="10"/>
      <c r="G57" s="14"/>
      <c r="H57" s="10"/>
      <c r="J57" s="15" t="s">
        <v>23</v>
      </c>
      <c r="K57" s="23"/>
      <c r="L57" s="9"/>
      <c r="M57" s="10"/>
      <c r="N57" s="10"/>
      <c r="O57" s="10"/>
    </row>
    <row r="58" spans="1:16" ht="51" x14ac:dyDescent="0.2">
      <c r="A58" s="5" t="s">
        <v>19</v>
      </c>
      <c r="B58" s="6" t="s">
        <v>8</v>
      </c>
      <c r="C58" s="6" t="s">
        <v>6</v>
      </c>
      <c r="D58" s="5" t="s">
        <v>11</v>
      </c>
      <c r="E58" s="6" t="s">
        <v>7</v>
      </c>
      <c r="F58" s="6" t="s">
        <v>39</v>
      </c>
      <c r="G58" s="5" t="s">
        <v>0</v>
      </c>
      <c r="H58" s="6" t="s">
        <v>1</v>
      </c>
      <c r="I58" s="6" t="s">
        <v>13</v>
      </c>
      <c r="J58" s="6" t="s">
        <v>14</v>
      </c>
      <c r="K58" s="23"/>
      <c r="L58" s="4" t="s">
        <v>10</v>
      </c>
      <c r="M58" s="16" t="s">
        <v>6</v>
      </c>
      <c r="N58" s="4" t="s">
        <v>20</v>
      </c>
      <c r="O58" s="3"/>
    </row>
    <row r="59" spans="1:16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3"/>
      <c r="P59" s="17"/>
    </row>
    <row r="60" spans="1:16" ht="15" x14ac:dyDescent="0.2">
      <c r="A60" s="18" t="s">
        <v>17</v>
      </c>
      <c r="B60" s="19">
        <f>ROUND(L60/12*$J$2,2)</f>
        <v>1506.23</v>
      </c>
      <c r="C60" s="19">
        <f>ROUND(M60/12*$J$2,2)</f>
        <v>7.53</v>
      </c>
      <c r="D60" s="20">
        <f>ROUND((B60+C60)/12,2)</f>
        <v>126.15</v>
      </c>
      <c r="E60" s="19">
        <f>ROUND(N60/12*$J$2,2)</f>
        <v>103.85</v>
      </c>
      <c r="F60" s="19">
        <f>22.59*$J$2</f>
        <v>22.59</v>
      </c>
      <c r="G60" s="19">
        <f>SUM(B60:F60)</f>
        <v>1766.35</v>
      </c>
      <c r="H60" s="19">
        <f>ROUND(G60+F60-G60*2%,2)</f>
        <v>1753.61</v>
      </c>
      <c r="I60" s="29">
        <f>ROUND((G60-F60)*40.38%+F60*32.7%+(G60)*1.61%,2)</f>
        <v>739.96</v>
      </c>
      <c r="J60" s="22">
        <f>H60+I60</f>
        <v>2493.5699999999997</v>
      </c>
      <c r="K60" s="23"/>
      <c r="L60" s="21">
        <v>18074.78</v>
      </c>
      <c r="M60" s="21">
        <v>90.36</v>
      </c>
      <c r="N60" s="21">
        <v>1246.1600000000001</v>
      </c>
      <c r="O60" s="24"/>
      <c r="P60" s="25"/>
    </row>
    <row r="61" spans="1:16" ht="15" x14ac:dyDescent="0.2">
      <c r="A61" s="18" t="s">
        <v>18</v>
      </c>
      <c r="B61" s="19">
        <f t="shared" ref="B61:C64" si="38">ROUND(L61/12*$J$2,2)</f>
        <v>1663.96</v>
      </c>
      <c r="C61" s="19">
        <f t="shared" si="38"/>
        <v>8.32</v>
      </c>
      <c r="D61" s="20">
        <f t="shared" ref="D61:D64" si="39">ROUND((B61+C61)/12,2)</f>
        <v>139.36000000000001</v>
      </c>
      <c r="E61" s="19">
        <f t="shared" ref="E61:E64" si="40">ROUND(N61/12*$J$2,2)</f>
        <v>103.85</v>
      </c>
      <c r="F61" s="19">
        <f>24.96*$J$2</f>
        <v>24.96</v>
      </c>
      <c r="G61" s="19">
        <f>SUM(B61:F61)</f>
        <v>1940.4499999999998</v>
      </c>
      <c r="H61" s="19">
        <f t="shared" ref="H61:H64" si="41">ROUND(G61+F61-G61*2%,2)</f>
        <v>1926.6</v>
      </c>
      <c r="I61" s="29">
        <f t="shared" ref="I61:I63" si="42">ROUND((G61-F61)*40.38%+F61*32.7%+(G61)*1.61%,2)</f>
        <v>812.88</v>
      </c>
      <c r="J61" s="22">
        <f t="shared" ref="J61" si="43">H61+I61</f>
        <v>2739.48</v>
      </c>
      <c r="K61" s="23"/>
      <c r="L61" s="21">
        <v>19967.47</v>
      </c>
      <c r="M61" s="21">
        <v>99.84</v>
      </c>
      <c r="N61" s="21">
        <v>1246.1600000000001</v>
      </c>
      <c r="O61" s="24"/>
      <c r="P61" s="25"/>
    </row>
    <row r="62" spans="1:16" ht="15" x14ac:dyDescent="0.2">
      <c r="A62" s="18" t="s">
        <v>2</v>
      </c>
      <c r="B62" s="19">
        <f t="shared" si="38"/>
        <v>1713.88</v>
      </c>
      <c r="C62" s="19">
        <f t="shared" si="38"/>
        <v>8.57</v>
      </c>
      <c r="D62" s="20">
        <f t="shared" si="39"/>
        <v>143.54</v>
      </c>
      <c r="E62" s="19">
        <f t="shared" si="40"/>
        <v>141.16</v>
      </c>
      <c r="F62" s="19">
        <f>25.71*$J$2</f>
        <v>25.71</v>
      </c>
      <c r="G62" s="19">
        <f>SUM(B62:F62)</f>
        <v>2032.8600000000001</v>
      </c>
      <c r="H62" s="19">
        <f t="shared" si="41"/>
        <v>2017.91</v>
      </c>
      <c r="I62" s="29">
        <f t="shared" si="42"/>
        <v>851.62</v>
      </c>
      <c r="J62" s="22">
        <f>H62+I62</f>
        <v>2869.53</v>
      </c>
      <c r="K62" s="23"/>
      <c r="L62" s="21">
        <v>20566.599999999999</v>
      </c>
      <c r="M62" s="21">
        <v>102.84</v>
      </c>
      <c r="N62" s="21">
        <v>1693.97</v>
      </c>
      <c r="O62" s="24"/>
      <c r="P62" s="25"/>
    </row>
    <row r="63" spans="1:16" ht="15" x14ac:dyDescent="0.2">
      <c r="A63" s="18" t="s">
        <v>3</v>
      </c>
      <c r="B63" s="19">
        <f t="shared" si="38"/>
        <v>1991.87</v>
      </c>
      <c r="C63" s="19">
        <f t="shared" si="38"/>
        <v>9.9600000000000009</v>
      </c>
      <c r="D63" s="20">
        <f t="shared" si="39"/>
        <v>166.82</v>
      </c>
      <c r="E63" s="19">
        <f t="shared" si="40"/>
        <v>201.85</v>
      </c>
      <c r="F63" s="19">
        <f>29.88*$J$2</f>
        <v>29.88</v>
      </c>
      <c r="G63" s="19">
        <f>SUM(B63:F63)</f>
        <v>2400.38</v>
      </c>
      <c r="H63" s="19">
        <f t="shared" si="41"/>
        <v>2382.25</v>
      </c>
      <c r="I63" s="29">
        <f t="shared" si="42"/>
        <v>1005.62</v>
      </c>
      <c r="J63" s="22">
        <f>H63+I63</f>
        <v>3387.87</v>
      </c>
      <c r="K63" s="23"/>
      <c r="L63" s="21">
        <v>23902.47</v>
      </c>
      <c r="M63" s="21">
        <v>119.52</v>
      </c>
      <c r="N63" s="21">
        <v>2422.16</v>
      </c>
      <c r="O63" s="24"/>
      <c r="P63" s="25"/>
    </row>
    <row r="64" spans="1:16" ht="15" x14ac:dyDescent="0.2">
      <c r="A64" s="18" t="s">
        <v>4</v>
      </c>
      <c r="B64" s="19">
        <f t="shared" si="38"/>
        <v>2240.84</v>
      </c>
      <c r="C64" s="19">
        <f t="shared" si="38"/>
        <v>11.2</v>
      </c>
      <c r="D64" s="20">
        <f t="shared" si="39"/>
        <v>187.67</v>
      </c>
      <c r="E64" s="19">
        <f t="shared" si="40"/>
        <v>242.45</v>
      </c>
      <c r="F64" s="19">
        <f>33.61*$J$2</f>
        <v>33.61</v>
      </c>
      <c r="G64" s="19">
        <f>SUM(B64:F64)</f>
        <v>2715.77</v>
      </c>
      <c r="H64" s="19">
        <f t="shared" si="41"/>
        <v>2695.06</v>
      </c>
      <c r="I64" s="29">
        <f>ROUND((G64-F64)*40.38%+(G64-F64)*1.61%+((B64+C64)-(556.86*$J$2))*4.36%,2)</f>
        <v>1200.1500000000001</v>
      </c>
      <c r="J64" s="22">
        <f>H64+I64</f>
        <v>3895.21</v>
      </c>
      <c r="K64" s="23"/>
      <c r="L64" s="21">
        <v>26890.05</v>
      </c>
      <c r="M64" s="21">
        <v>134.4</v>
      </c>
      <c r="N64" s="21">
        <v>2909.4</v>
      </c>
      <c r="O64" s="24"/>
      <c r="P64" s="25"/>
    </row>
    <row r="66" spans="1:16" ht="15" x14ac:dyDescent="0.2">
      <c r="A66" s="30" t="s">
        <v>9</v>
      </c>
      <c r="B66" s="30" t="s">
        <v>25</v>
      </c>
      <c r="C66" s="30"/>
      <c r="D66" s="30"/>
      <c r="E66" s="31"/>
      <c r="F66" s="30"/>
      <c r="G66" s="30"/>
      <c r="M66" s="26"/>
      <c r="N66" s="26"/>
      <c r="O66" s="27"/>
      <c r="P66" s="25"/>
    </row>
    <row r="67" spans="1:16" x14ac:dyDescent="0.2">
      <c r="A67" s="30" t="s">
        <v>26</v>
      </c>
      <c r="B67" s="30"/>
      <c r="C67" s="30"/>
      <c r="D67" s="30"/>
      <c r="E67" s="30"/>
      <c r="F67" s="30"/>
      <c r="G67" s="30" t="s">
        <v>27</v>
      </c>
    </row>
    <row r="68" spans="1:16" x14ac:dyDescent="0.2">
      <c r="A68" s="30" t="s">
        <v>28</v>
      </c>
      <c r="B68" s="30"/>
      <c r="C68" s="30"/>
      <c r="D68" s="30"/>
      <c r="E68" s="30"/>
      <c r="F68" s="30"/>
      <c r="G68" s="30" t="s">
        <v>29</v>
      </c>
    </row>
    <row r="69" spans="1:16" x14ac:dyDescent="0.2">
      <c r="A69" s="30" t="s">
        <v>30</v>
      </c>
      <c r="B69" s="30"/>
      <c r="C69" s="30"/>
      <c r="D69" s="30"/>
      <c r="E69" s="30"/>
      <c r="F69" s="30"/>
      <c r="G69" s="30" t="s">
        <v>31</v>
      </c>
    </row>
    <row r="70" spans="1:16" x14ac:dyDescent="0.2">
      <c r="A70" s="30" t="s">
        <v>32</v>
      </c>
      <c r="B70" s="30"/>
      <c r="C70" s="30"/>
      <c r="D70" s="30"/>
      <c r="E70" s="30"/>
      <c r="F70" s="30"/>
      <c r="G70" s="30" t="s">
        <v>33</v>
      </c>
    </row>
    <row r="71" spans="1:16" x14ac:dyDescent="0.2">
      <c r="A71" s="30" t="s">
        <v>34</v>
      </c>
      <c r="B71" s="30"/>
      <c r="C71" s="30"/>
      <c r="D71" s="30"/>
      <c r="E71" s="30"/>
      <c r="F71" s="30"/>
      <c r="G71" s="30" t="s">
        <v>35</v>
      </c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scale="35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341F-93E0-4640-9467-7F782C978858}">
  <sheetPr>
    <pageSetUpPr fitToPage="1"/>
  </sheetPr>
  <dimension ref="A1:P71"/>
  <sheetViews>
    <sheetView view="pageBreakPreview" topLeftCell="A19" zoomScaleSheetLayoutView="100" workbookViewId="0">
      <selection activeCell="J3" sqref="J3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9" width="12.28515625" style="1" customWidth="1"/>
    <col min="10" max="10" width="14.42578125" style="1" customWidth="1"/>
    <col min="11" max="11" width="13.28515625" style="1" customWidth="1"/>
    <col min="12" max="12" width="13.85546875" style="1" customWidth="1"/>
    <col min="13" max="13" width="9.42578125" style="1" bestFit="1" customWidth="1"/>
    <col min="14" max="14" width="11.28515625" style="1" bestFit="1" customWidth="1"/>
    <col min="15" max="15" width="16.42578125" style="1" bestFit="1" customWidth="1"/>
    <col min="16" max="16384" width="12.28515625" style="1"/>
  </cols>
  <sheetData>
    <row r="1" spans="1:16" x14ac:dyDescent="0.2">
      <c r="A1" s="32" t="s">
        <v>24</v>
      </c>
      <c r="B1" s="32"/>
      <c r="C1" s="32"/>
      <c r="D1" s="32"/>
      <c r="E1" s="32"/>
      <c r="F1" s="32"/>
      <c r="G1" s="32"/>
      <c r="J1" s="9"/>
      <c r="K1" s="9"/>
      <c r="L1" s="10"/>
    </row>
    <row r="2" spans="1:16" ht="15" x14ac:dyDescent="0.2">
      <c r="A2"/>
      <c r="B2" s="28" t="s">
        <v>5</v>
      </c>
      <c r="C2" s="28"/>
      <c r="D2" s="28"/>
      <c r="E2" s="28"/>
      <c r="F2" s="28"/>
      <c r="G2" s="28"/>
      <c r="H2" s="10"/>
      <c r="I2" s="10"/>
      <c r="J2" s="7">
        <v>0.83330000000000004</v>
      </c>
      <c r="K2" s="13"/>
      <c r="L2" s="10"/>
      <c r="M2" s="10"/>
      <c r="N2" s="10"/>
    </row>
    <row r="3" spans="1:16" ht="29.25" customHeight="1" x14ac:dyDescent="0.2">
      <c r="B3" s="10"/>
      <c r="C3" s="10"/>
      <c r="D3" s="10"/>
      <c r="F3" s="14"/>
      <c r="G3" s="10"/>
      <c r="I3" s="10"/>
      <c r="J3" s="15" t="s">
        <v>15</v>
      </c>
      <c r="K3" s="9"/>
      <c r="L3" s="10"/>
      <c r="M3" s="10"/>
      <c r="N3" s="10"/>
    </row>
    <row r="4" spans="1:16" ht="38.25" x14ac:dyDescent="0.2">
      <c r="A4" s="5" t="s">
        <v>19</v>
      </c>
      <c r="B4" s="6" t="s">
        <v>8</v>
      </c>
      <c r="C4" s="6" t="s">
        <v>6</v>
      </c>
      <c r="D4" s="5" t="s">
        <v>11</v>
      </c>
      <c r="E4" s="6" t="s">
        <v>7</v>
      </c>
      <c r="F4" s="11" t="s">
        <v>12</v>
      </c>
      <c r="G4" s="5" t="s">
        <v>0</v>
      </c>
      <c r="H4" s="6" t="s">
        <v>1</v>
      </c>
      <c r="I4" s="6" t="s">
        <v>13</v>
      </c>
      <c r="J4" s="6" t="s">
        <v>14</v>
      </c>
      <c r="K4" s="8"/>
      <c r="L4" s="4" t="s">
        <v>10</v>
      </c>
      <c r="M4" s="16" t="s">
        <v>6</v>
      </c>
      <c r="N4" s="4" t="s">
        <v>20</v>
      </c>
      <c r="O4" s="3"/>
    </row>
    <row r="5" spans="1:16" ht="9.75" customHeight="1" x14ac:dyDescent="0.2">
      <c r="B5" s="2"/>
      <c r="C5" s="2"/>
      <c r="D5" s="2"/>
      <c r="E5" s="2"/>
      <c r="F5" s="12"/>
      <c r="G5" s="2"/>
      <c r="H5" s="2"/>
      <c r="I5" s="2"/>
      <c r="J5" s="2"/>
      <c r="K5" s="2"/>
      <c r="P5" s="17"/>
    </row>
    <row r="6" spans="1:16" ht="15" x14ac:dyDescent="0.2">
      <c r="A6" s="18" t="s">
        <v>17</v>
      </c>
      <c r="B6" s="19">
        <f>ROUND(L6/12*$J$2,2)</f>
        <v>1192.1500000000001</v>
      </c>
      <c r="C6" s="19">
        <f>ROUND(M6/12*$J$2,2)</f>
        <v>0</v>
      </c>
      <c r="D6" s="20">
        <f>ROUND((B6+C6)/12,2)</f>
        <v>99.35</v>
      </c>
      <c r="E6" s="19">
        <f>ROUND(N6/12*$J$2,2)</f>
        <v>83.96</v>
      </c>
      <c r="F6" s="20">
        <f>28*$J$2</f>
        <v>23.3324</v>
      </c>
      <c r="G6" s="19">
        <f>SUM(B6:F6)</f>
        <v>1398.7924</v>
      </c>
      <c r="H6" s="19">
        <f>ROUND(G6-(G6-F6)*2%,2)</f>
        <v>1371.28</v>
      </c>
      <c r="I6" s="29">
        <f>ROUND((G6-F6)*40.38%+F6*32.7%+(G6)*1.61%,2)</f>
        <v>585.55999999999995</v>
      </c>
      <c r="J6" s="22">
        <f t="shared" ref="J6:J7" si="0">H6+I6</f>
        <v>1956.84</v>
      </c>
      <c r="K6" s="23"/>
      <c r="L6" s="21">
        <v>17167.7</v>
      </c>
      <c r="M6" s="21"/>
      <c r="N6" s="21">
        <v>1209.06</v>
      </c>
      <c r="O6" s="24"/>
      <c r="P6" s="25"/>
    </row>
    <row r="7" spans="1:16" ht="15" x14ac:dyDescent="0.2">
      <c r="A7" s="18" t="s">
        <v>18</v>
      </c>
      <c r="B7" s="19">
        <f t="shared" ref="B7:C10" si="1">ROUND(L7/12*$J$2,2)</f>
        <v>1328.02</v>
      </c>
      <c r="C7" s="19">
        <f t="shared" si="1"/>
        <v>0</v>
      </c>
      <c r="D7" s="20">
        <f t="shared" ref="D7:D10" si="2">ROUND((B7+C7)/12,2)</f>
        <v>110.67</v>
      </c>
      <c r="E7" s="19">
        <f t="shared" ref="E7:E10" si="3">ROUND(N7/12*$J$2,2)</f>
        <v>83.96</v>
      </c>
      <c r="F7" s="20">
        <f>22*$J$2</f>
        <v>18.332599999999999</v>
      </c>
      <c r="G7" s="19">
        <f>SUM(B7:F7)</f>
        <v>1540.9826</v>
      </c>
      <c r="H7" s="19">
        <f t="shared" ref="H7:H10" si="4">ROUND(G7-(G7-F7)*2%,2)</f>
        <v>1510.53</v>
      </c>
      <c r="I7" s="29">
        <f t="shared" ref="I7:I9" si="5">ROUND((G7-F7)*40.38%+F7*32.7%+(G7)*1.61%,2)</f>
        <v>645.65</v>
      </c>
      <c r="J7" s="22">
        <f t="shared" si="0"/>
        <v>2156.1799999999998</v>
      </c>
      <c r="K7" s="23"/>
      <c r="L7" s="21">
        <v>19124.23</v>
      </c>
      <c r="M7" s="21"/>
      <c r="N7" s="21">
        <v>1209.06</v>
      </c>
      <c r="O7" s="24"/>
      <c r="P7" s="25"/>
    </row>
    <row r="8" spans="1:16" ht="15" x14ac:dyDescent="0.2">
      <c r="A8" s="18" t="s">
        <v>2</v>
      </c>
      <c r="B8" s="19">
        <f t="shared" si="1"/>
        <v>1368.43</v>
      </c>
      <c r="C8" s="19">
        <f t="shared" si="1"/>
        <v>0</v>
      </c>
      <c r="D8" s="20">
        <f t="shared" si="2"/>
        <v>114.04</v>
      </c>
      <c r="E8" s="19">
        <f t="shared" si="3"/>
        <v>114.13</v>
      </c>
      <c r="F8" s="20">
        <f>20*$J$2</f>
        <v>16.666</v>
      </c>
      <c r="G8" s="19">
        <f t="shared" ref="G8:G10" si="6">SUM(B8:F8)</f>
        <v>1613.2659999999998</v>
      </c>
      <c r="H8" s="19">
        <f t="shared" si="4"/>
        <v>1581.33</v>
      </c>
      <c r="I8" s="29">
        <f t="shared" si="5"/>
        <v>676.13</v>
      </c>
      <c r="J8" s="22">
        <f>H8+I8</f>
        <v>2257.46</v>
      </c>
      <c r="K8" s="23"/>
      <c r="L8" s="21">
        <v>19706.2</v>
      </c>
      <c r="M8" s="21"/>
      <c r="N8" s="21">
        <v>1643.57</v>
      </c>
      <c r="O8" s="24"/>
      <c r="P8" s="25"/>
    </row>
    <row r="9" spans="1:16" ht="15" x14ac:dyDescent="0.2">
      <c r="A9" s="18" t="s">
        <v>3</v>
      </c>
      <c r="B9" s="19">
        <f t="shared" si="1"/>
        <v>1601.02</v>
      </c>
      <c r="C9" s="19">
        <f t="shared" si="1"/>
        <v>0</v>
      </c>
      <c r="D9" s="20">
        <f t="shared" si="2"/>
        <v>133.41999999999999</v>
      </c>
      <c r="E9" s="19">
        <f t="shared" si="3"/>
        <v>163.19</v>
      </c>
      <c r="F9" s="20">
        <f>9*$J$2</f>
        <v>7.4997000000000007</v>
      </c>
      <c r="G9" s="19">
        <f t="shared" si="6"/>
        <v>1905.1297000000002</v>
      </c>
      <c r="H9" s="19">
        <f t="shared" si="4"/>
        <v>1867.18</v>
      </c>
      <c r="I9" s="29">
        <f t="shared" si="5"/>
        <v>799.39</v>
      </c>
      <c r="J9" s="22">
        <f>H9+I9</f>
        <v>2666.57</v>
      </c>
      <c r="K9" s="23"/>
      <c r="L9" s="21">
        <v>23055.63</v>
      </c>
      <c r="M9" s="21"/>
      <c r="N9" s="21">
        <v>2350.06</v>
      </c>
      <c r="O9" s="24"/>
      <c r="P9" s="25"/>
    </row>
    <row r="10" spans="1:16" ht="15" x14ac:dyDescent="0.2">
      <c r="A10" s="18" t="s">
        <v>4</v>
      </c>
      <c r="B10" s="19">
        <f t="shared" si="1"/>
        <v>1807.21</v>
      </c>
      <c r="C10" s="19">
        <f t="shared" si="1"/>
        <v>0</v>
      </c>
      <c r="D10" s="20">
        <f t="shared" si="2"/>
        <v>150.6</v>
      </c>
      <c r="E10" s="19">
        <f t="shared" si="3"/>
        <v>195.6</v>
      </c>
      <c r="F10" s="20"/>
      <c r="G10" s="19">
        <f t="shared" si="6"/>
        <v>2153.41</v>
      </c>
      <c r="H10" s="19">
        <f t="shared" si="4"/>
        <v>2110.34</v>
      </c>
      <c r="I10" s="29">
        <f>ROUND((G10-F10)*40.38%+(G10-F10)*1.61%+((B10+C10)-(556.86*$J$2))*4.36%,2)</f>
        <v>962.78</v>
      </c>
      <c r="J10" s="22">
        <f>H10+I10</f>
        <v>3073.12</v>
      </c>
      <c r="K10" s="23"/>
      <c r="L10" s="21">
        <v>26024.85</v>
      </c>
      <c r="M10" s="21"/>
      <c r="N10" s="21">
        <v>2816.8</v>
      </c>
      <c r="O10" s="24"/>
      <c r="P10" s="25"/>
    </row>
    <row r="11" spans="1:16" x14ac:dyDescent="0.2">
      <c r="K11" s="23"/>
    </row>
    <row r="12" spans="1:16" ht="29.25" customHeight="1" x14ac:dyDescent="0.2">
      <c r="B12" s="10"/>
      <c r="C12" s="10"/>
      <c r="D12" s="10"/>
      <c r="G12" s="14"/>
      <c r="H12" s="10"/>
      <c r="J12" s="15" t="s">
        <v>16</v>
      </c>
      <c r="K12" s="23"/>
      <c r="L12" s="10"/>
      <c r="M12" s="10"/>
      <c r="N12" s="10"/>
    </row>
    <row r="13" spans="1:16" ht="38.25" x14ac:dyDescent="0.2">
      <c r="A13" s="5" t="s">
        <v>19</v>
      </c>
      <c r="B13" s="6" t="s">
        <v>8</v>
      </c>
      <c r="C13" s="6" t="s">
        <v>6</v>
      </c>
      <c r="D13" s="5" t="s">
        <v>11</v>
      </c>
      <c r="E13" s="6" t="s">
        <v>7</v>
      </c>
      <c r="F13" s="11" t="s">
        <v>12</v>
      </c>
      <c r="G13" s="5" t="s">
        <v>0</v>
      </c>
      <c r="H13" s="6" t="s">
        <v>1</v>
      </c>
      <c r="I13" s="6" t="s">
        <v>13</v>
      </c>
      <c r="J13" s="6" t="s">
        <v>14</v>
      </c>
      <c r="K13" s="23"/>
      <c r="L13" s="4" t="s">
        <v>10</v>
      </c>
      <c r="M13" s="16" t="s">
        <v>6</v>
      </c>
      <c r="N13" s="4" t="s">
        <v>20</v>
      </c>
      <c r="O13" s="3"/>
    </row>
    <row r="14" spans="1:16" ht="9.75" customHeight="1" x14ac:dyDescent="0.2">
      <c r="B14" s="2"/>
      <c r="C14" s="2"/>
      <c r="D14" s="2"/>
      <c r="E14" s="2"/>
      <c r="F14" s="12"/>
      <c r="G14" s="2"/>
      <c r="H14" s="2"/>
      <c r="I14" s="2"/>
      <c r="J14" s="2"/>
      <c r="K14" s="23"/>
      <c r="P14" s="17"/>
    </row>
    <row r="15" spans="1:16" ht="15" x14ac:dyDescent="0.2">
      <c r="A15" s="18" t="s">
        <v>17</v>
      </c>
      <c r="B15" s="19">
        <f>ROUND(L15/12*$J$2,2)</f>
        <v>1203.57</v>
      </c>
      <c r="C15" s="19">
        <f>ROUND(M15/12*$J$2,2)</f>
        <v>0</v>
      </c>
      <c r="D15" s="20">
        <f>ROUND((B15+C15)/12,2)</f>
        <v>100.3</v>
      </c>
      <c r="E15" s="19">
        <f>ROUND(N15/12*$J$2,2)</f>
        <v>83.96</v>
      </c>
      <c r="F15" s="20">
        <f>28*$J$2</f>
        <v>23.3324</v>
      </c>
      <c r="G15" s="19">
        <f>SUM(B15:F15)</f>
        <v>1411.1623999999999</v>
      </c>
      <c r="H15" s="19">
        <f>ROUND(G15+F15-G15*2%,2)</f>
        <v>1406.27</v>
      </c>
      <c r="I15" s="29">
        <f>ROUND((G15-F15)*40.38%+F15*32.7%+(G15)*1.61%,2)</f>
        <v>590.76</v>
      </c>
      <c r="J15" s="22">
        <f t="shared" ref="J15:J16" si="7">H15+I15</f>
        <v>1997.03</v>
      </c>
      <c r="K15" s="23"/>
      <c r="L15" s="21">
        <v>17332.099999999999</v>
      </c>
      <c r="M15" s="21"/>
      <c r="N15" s="21">
        <v>1209.06</v>
      </c>
      <c r="O15" s="24"/>
      <c r="P15" s="25"/>
    </row>
    <row r="16" spans="1:16" ht="15" x14ac:dyDescent="0.2">
      <c r="A16" s="18" t="s">
        <v>18</v>
      </c>
      <c r="B16" s="19">
        <f t="shared" ref="B16:C19" si="8">ROUND(L16/12*$J$2,2)</f>
        <v>1339.43</v>
      </c>
      <c r="C16" s="19">
        <f t="shared" si="8"/>
        <v>0</v>
      </c>
      <c r="D16" s="20">
        <f t="shared" ref="D16:D19" si="9">ROUND((B16+C16)/12,2)</f>
        <v>111.62</v>
      </c>
      <c r="E16" s="19">
        <f t="shared" ref="E16:E19" si="10">ROUND(N16/12*$J$2,2)</f>
        <v>83.96</v>
      </c>
      <c r="F16" s="20">
        <f>22*$J$2</f>
        <v>18.332599999999999</v>
      </c>
      <c r="G16" s="19">
        <f>SUM(B16:F16)</f>
        <v>1553.3426000000002</v>
      </c>
      <c r="H16" s="19">
        <f t="shared" ref="H16:H19" si="11">ROUND(G16+F16-G16*2%,2)</f>
        <v>1540.61</v>
      </c>
      <c r="I16" s="29">
        <f t="shared" ref="I16:I18" si="12">ROUND((G16-F16)*40.38%+F16*32.7%+(G16)*1.61%,2)</f>
        <v>650.84</v>
      </c>
      <c r="J16" s="22">
        <f t="shared" si="7"/>
        <v>2191.4499999999998</v>
      </c>
      <c r="K16" s="23"/>
      <c r="L16" s="21">
        <v>19288.63</v>
      </c>
      <c r="M16" s="21"/>
      <c r="N16" s="21">
        <v>1209.06</v>
      </c>
      <c r="O16" s="24"/>
      <c r="P16" s="25"/>
    </row>
    <row r="17" spans="1:16" ht="15" x14ac:dyDescent="0.2">
      <c r="A17" s="18" t="s">
        <v>2</v>
      </c>
      <c r="B17" s="19">
        <f t="shared" si="8"/>
        <v>1380.6</v>
      </c>
      <c r="C17" s="19">
        <f t="shared" si="8"/>
        <v>0</v>
      </c>
      <c r="D17" s="20">
        <f t="shared" si="9"/>
        <v>115.05</v>
      </c>
      <c r="E17" s="19">
        <f t="shared" si="10"/>
        <v>114.13</v>
      </c>
      <c r="F17" s="20">
        <f>20*$J$2</f>
        <v>16.666</v>
      </c>
      <c r="G17" s="19">
        <f>SUM(B17:E17)</f>
        <v>1609.7799999999997</v>
      </c>
      <c r="H17" s="19">
        <f t="shared" si="11"/>
        <v>1594.25</v>
      </c>
      <c r="I17" s="29">
        <f t="shared" si="12"/>
        <v>674.67</v>
      </c>
      <c r="J17" s="22">
        <f>H17+I17</f>
        <v>2268.92</v>
      </c>
      <c r="K17" s="23"/>
      <c r="L17" s="21">
        <v>19881.400000000001</v>
      </c>
      <c r="M17" s="21"/>
      <c r="N17" s="21">
        <v>1643.57</v>
      </c>
      <c r="O17" s="24"/>
      <c r="P17" s="25"/>
    </row>
    <row r="18" spans="1:16" ht="15" x14ac:dyDescent="0.2">
      <c r="A18" s="18" t="s">
        <v>3</v>
      </c>
      <c r="B18" s="19">
        <f t="shared" si="8"/>
        <v>1615.1</v>
      </c>
      <c r="C18" s="19">
        <f t="shared" si="8"/>
        <v>0</v>
      </c>
      <c r="D18" s="20">
        <f t="shared" si="9"/>
        <v>134.59</v>
      </c>
      <c r="E18" s="19">
        <f t="shared" si="10"/>
        <v>163.19</v>
      </c>
      <c r="F18" s="20">
        <f>9*$J$2</f>
        <v>7.4997000000000007</v>
      </c>
      <c r="G18" s="19">
        <f>SUM(B18:E18)</f>
        <v>1912.8799999999999</v>
      </c>
      <c r="H18" s="19">
        <f t="shared" si="11"/>
        <v>1882.12</v>
      </c>
      <c r="I18" s="29">
        <f t="shared" si="12"/>
        <v>802.64</v>
      </c>
      <c r="J18" s="22">
        <f>H18+I18</f>
        <v>2684.7599999999998</v>
      </c>
      <c r="K18" s="23"/>
      <c r="L18" s="21">
        <v>23258.43</v>
      </c>
      <c r="M18" s="21"/>
      <c r="N18" s="21">
        <v>2350.06</v>
      </c>
      <c r="O18" s="24"/>
      <c r="P18" s="25"/>
    </row>
    <row r="19" spans="1:16" ht="15" x14ac:dyDescent="0.2">
      <c r="A19" s="18" t="s">
        <v>4</v>
      </c>
      <c r="B19" s="19">
        <f t="shared" si="8"/>
        <v>1823.46</v>
      </c>
      <c r="C19" s="19">
        <f t="shared" si="8"/>
        <v>0</v>
      </c>
      <c r="D19" s="20">
        <f t="shared" si="9"/>
        <v>151.96</v>
      </c>
      <c r="E19" s="19">
        <f t="shared" si="10"/>
        <v>195.6</v>
      </c>
      <c r="F19" s="19"/>
      <c r="G19" s="19">
        <f>SUM(B19:E19)</f>
        <v>2171.02</v>
      </c>
      <c r="H19" s="19">
        <f t="shared" si="11"/>
        <v>2127.6</v>
      </c>
      <c r="I19" s="29">
        <f>ROUND((G19-F19)*40.38%+(G19-F19)*1.61%+((B19+C19)-(556.86*$J$2))*4.36%,2)</f>
        <v>970.88</v>
      </c>
      <c r="J19" s="22">
        <f>H19+I19</f>
        <v>3098.48</v>
      </c>
      <c r="K19" s="23"/>
      <c r="L19" s="21">
        <v>26258.85</v>
      </c>
      <c r="M19" s="21"/>
      <c r="N19" s="21">
        <v>2816.8</v>
      </c>
      <c r="O19" s="24"/>
      <c r="P19" s="25"/>
    </row>
    <row r="20" spans="1:16" x14ac:dyDescent="0.2">
      <c r="K20" s="23"/>
    </row>
    <row r="21" spans="1:16" ht="29.25" customHeight="1" x14ac:dyDescent="0.2">
      <c r="B21" s="10"/>
      <c r="C21" s="10"/>
      <c r="D21" s="10"/>
      <c r="G21" s="14"/>
      <c r="H21" s="10"/>
      <c r="J21" s="15" t="s">
        <v>21</v>
      </c>
      <c r="K21" s="23"/>
      <c r="L21" s="9"/>
      <c r="M21" s="10"/>
      <c r="N21" s="10"/>
      <c r="O21" s="10"/>
    </row>
    <row r="22" spans="1:16" ht="38.25" x14ac:dyDescent="0.2">
      <c r="A22" s="5" t="s">
        <v>19</v>
      </c>
      <c r="B22" s="6" t="s">
        <v>8</v>
      </c>
      <c r="C22" s="6" t="s">
        <v>6</v>
      </c>
      <c r="D22" s="5" t="s">
        <v>11</v>
      </c>
      <c r="E22" s="6" t="s">
        <v>7</v>
      </c>
      <c r="F22" s="6" t="s">
        <v>12</v>
      </c>
      <c r="G22" s="5" t="s">
        <v>0</v>
      </c>
      <c r="H22" s="6" t="s">
        <v>1</v>
      </c>
      <c r="I22" s="6" t="s">
        <v>13</v>
      </c>
      <c r="J22" s="6" t="s">
        <v>14</v>
      </c>
      <c r="K22" s="23"/>
      <c r="L22" s="4" t="s">
        <v>10</v>
      </c>
      <c r="M22" s="16" t="s">
        <v>6</v>
      </c>
      <c r="N22" s="4" t="s">
        <v>20</v>
      </c>
      <c r="O22" s="3"/>
    </row>
    <row r="23" spans="1:16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3"/>
      <c r="P23" s="17"/>
    </row>
    <row r="24" spans="1:16" ht="15" x14ac:dyDescent="0.2">
      <c r="A24" s="18" t="s">
        <v>17</v>
      </c>
      <c r="B24" s="19">
        <f>ROUND(L24/12*$J$2,2)</f>
        <v>1234.49</v>
      </c>
      <c r="C24" s="19">
        <f>ROUND(M24/12*$J$2,2)</f>
        <v>0</v>
      </c>
      <c r="D24" s="20">
        <f>ROUND((B24+C24)/12,2)</f>
        <v>102.87</v>
      </c>
      <c r="E24" s="19">
        <f>ROUND(N24/12*$J$2,2)</f>
        <v>86.54</v>
      </c>
      <c r="F24" s="20">
        <f>28*$J$2</f>
        <v>23.3324</v>
      </c>
      <c r="G24" s="19">
        <f>SUM(B24:F24)</f>
        <v>1447.2324000000001</v>
      </c>
      <c r="H24" s="19">
        <f>ROUND(G24+F24-G24*2%,2)</f>
        <v>1441.62</v>
      </c>
      <c r="I24" s="29">
        <f>ROUND((G24-F24)*40.38%+F24*32.7%+(G24)*1.61%,2)</f>
        <v>605.9</v>
      </c>
      <c r="J24" s="22">
        <f t="shared" ref="J24:J25" si="13">H24+I24</f>
        <v>2047.52</v>
      </c>
      <c r="K24" s="23"/>
      <c r="L24" s="21">
        <v>17777.3</v>
      </c>
      <c r="M24" s="21"/>
      <c r="N24" s="21">
        <v>1246.1600000000001</v>
      </c>
      <c r="O24" s="24"/>
      <c r="P24" s="25"/>
    </row>
    <row r="25" spans="1:16" ht="15" x14ac:dyDescent="0.2">
      <c r="A25" s="18" t="s">
        <v>18</v>
      </c>
      <c r="B25" s="19">
        <f t="shared" ref="B25:C28" si="14">ROUND(L25/12*$J$2,2)</f>
        <v>1370.35</v>
      </c>
      <c r="C25" s="19">
        <f t="shared" si="14"/>
        <v>0</v>
      </c>
      <c r="D25" s="20">
        <f t="shared" ref="D25:D28" si="15">ROUND((B25+C25)/12,2)</f>
        <v>114.2</v>
      </c>
      <c r="E25" s="19">
        <f t="shared" ref="E25:E28" si="16">ROUND(N25/12*$J$2,2)</f>
        <v>86.54</v>
      </c>
      <c r="F25" s="20">
        <f>22*$J$2</f>
        <v>18.332599999999999</v>
      </c>
      <c r="G25" s="19">
        <f>SUM(B25:F25)</f>
        <v>1589.4225999999999</v>
      </c>
      <c r="H25" s="19">
        <f t="shared" ref="H25:H28" si="17">ROUND(G25+F25-G25*2%,2)</f>
        <v>1575.97</v>
      </c>
      <c r="I25" s="29">
        <f t="shared" ref="I25:I27" si="18">ROUND((G25-F25)*40.38%+F25*32.7%+(G25)*1.61%,2)</f>
        <v>665.99</v>
      </c>
      <c r="J25" s="22">
        <f t="shared" si="13"/>
        <v>2241.96</v>
      </c>
      <c r="K25" s="23"/>
      <c r="L25" s="21">
        <v>19733.830000000002</v>
      </c>
      <c r="M25" s="21"/>
      <c r="N25" s="21">
        <v>1246.1600000000001</v>
      </c>
      <c r="O25" s="24"/>
      <c r="P25" s="25"/>
    </row>
    <row r="26" spans="1:16" ht="15" x14ac:dyDescent="0.2">
      <c r="A26" s="18" t="s">
        <v>2</v>
      </c>
      <c r="B26" s="19">
        <f t="shared" si="14"/>
        <v>1413.43</v>
      </c>
      <c r="C26" s="19">
        <f t="shared" si="14"/>
        <v>0</v>
      </c>
      <c r="D26" s="20">
        <f t="shared" si="15"/>
        <v>117.79</v>
      </c>
      <c r="E26" s="19">
        <f t="shared" si="16"/>
        <v>117.63</v>
      </c>
      <c r="F26" s="20">
        <f>20*$J$2</f>
        <v>16.666</v>
      </c>
      <c r="G26" s="19">
        <f>SUM(B26:F26)</f>
        <v>1665.5159999999998</v>
      </c>
      <c r="H26" s="19">
        <f t="shared" si="17"/>
        <v>1648.87</v>
      </c>
      <c r="I26" s="29">
        <f t="shared" si="18"/>
        <v>698.07</v>
      </c>
      <c r="J26" s="22">
        <f>H26+I26</f>
        <v>2346.94</v>
      </c>
      <c r="K26" s="23"/>
      <c r="L26" s="21">
        <v>20354.2</v>
      </c>
      <c r="M26" s="21"/>
      <c r="N26" s="21">
        <v>1693.97</v>
      </c>
      <c r="O26" s="24"/>
      <c r="P26" s="25"/>
    </row>
    <row r="27" spans="1:16" ht="15" x14ac:dyDescent="0.2">
      <c r="A27" s="18" t="s">
        <v>3</v>
      </c>
      <c r="B27" s="19">
        <f t="shared" si="14"/>
        <v>1653.19</v>
      </c>
      <c r="C27" s="19">
        <f t="shared" si="14"/>
        <v>0</v>
      </c>
      <c r="D27" s="20">
        <f t="shared" si="15"/>
        <v>137.77000000000001</v>
      </c>
      <c r="E27" s="19">
        <f t="shared" si="16"/>
        <v>168.2</v>
      </c>
      <c r="F27" s="20">
        <f>9*$J$2</f>
        <v>7.4997000000000007</v>
      </c>
      <c r="G27" s="19">
        <f>SUM(B27:F27)</f>
        <v>1966.6597000000002</v>
      </c>
      <c r="H27" s="19">
        <f t="shared" si="17"/>
        <v>1934.83</v>
      </c>
      <c r="I27" s="29">
        <f t="shared" si="18"/>
        <v>825.22</v>
      </c>
      <c r="J27" s="22">
        <f>H27+I27</f>
        <v>2760.05</v>
      </c>
      <c r="K27" s="23"/>
      <c r="L27" s="21">
        <v>23806.83</v>
      </c>
      <c r="M27" s="21"/>
      <c r="N27" s="21">
        <v>2422.16</v>
      </c>
      <c r="O27" s="24"/>
      <c r="P27" s="25"/>
    </row>
    <row r="28" spans="1:16" ht="15" x14ac:dyDescent="0.2">
      <c r="A28" s="18" t="s">
        <v>4</v>
      </c>
      <c r="B28" s="19">
        <f t="shared" si="14"/>
        <v>1867.29</v>
      </c>
      <c r="C28" s="19">
        <f t="shared" si="14"/>
        <v>0</v>
      </c>
      <c r="D28" s="20">
        <f t="shared" si="15"/>
        <v>155.61000000000001</v>
      </c>
      <c r="E28" s="19">
        <f t="shared" si="16"/>
        <v>202.03</v>
      </c>
      <c r="F28" s="19"/>
      <c r="G28" s="19">
        <f>SUM(B28:F28)</f>
        <v>2224.9300000000003</v>
      </c>
      <c r="H28" s="19">
        <f t="shared" si="17"/>
        <v>2180.4299999999998</v>
      </c>
      <c r="I28" s="29">
        <f>ROUND((G28-F28)*40.38%+(G28-F28)*1.61%+((B28+C28)-(556.86*$J$2))*4.36%,2)</f>
        <v>995.43</v>
      </c>
      <c r="J28" s="22">
        <f>H28+I28</f>
        <v>3175.8599999999997</v>
      </c>
      <c r="K28" s="23"/>
      <c r="L28" s="21">
        <v>26890.05</v>
      </c>
      <c r="M28" s="21"/>
      <c r="N28" s="21">
        <v>2909.4</v>
      </c>
      <c r="O28" s="24"/>
      <c r="P28" s="25"/>
    </row>
    <row r="29" spans="1:16" x14ac:dyDescent="0.2">
      <c r="K29" s="23"/>
    </row>
    <row r="30" spans="1:16" ht="29.25" customHeight="1" x14ac:dyDescent="0.2">
      <c r="B30" s="10"/>
      <c r="C30" s="10"/>
      <c r="D30" s="10"/>
      <c r="G30" s="14"/>
      <c r="H30" s="10"/>
      <c r="J30" s="15" t="s">
        <v>22</v>
      </c>
      <c r="K30" s="23"/>
      <c r="L30" s="9"/>
      <c r="M30" s="10"/>
      <c r="N30" s="10"/>
      <c r="O30" s="10"/>
    </row>
    <row r="31" spans="1:16" ht="38.25" x14ac:dyDescent="0.2">
      <c r="A31" s="5" t="s">
        <v>19</v>
      </c>
      <c r="B31" s="6" t="s">
        <v>8</v>
      </c>
      <c r="C31" s="6" t="s">
        <v>6</v>
      </c>
      <c r="D31" s="5" t="s">
        <v>11</v>
      </c>
      <c r="E31" s="6" t="s">
        <v>7</v>
      </c>
      <c r="F31" s="6" t="s">
        <v>12</v>
      </c>
      <c r="G31" s="5" t="s">
        <v>0</v>
      </c>
      <c r="H31" s="6" t="s">
        <v>1</v>
      </c>
      <c r="I31" s="6" t="s">
        <v>13</v>
      </c>
      <c r="J31" s="6" t="s">
        <v>14</v>
      </c>
      <c r="K31" s="23"/>
      <c r="L31" s="4" t="s">
        <v>10</v>
      </c>
      <c r="M31" s="16" t="s">
        <v>6</v>
      </c>
      <c r="N31" s="4" t="s">
        <v>20</v>
      </c>
      <c r="O31" s="3"/>
    </row>
    <row r="32" spans="1:16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3"/>
      <c r="P32" s="17"/>
    </row>
    <row r="33" spans="1:16" ht="15" x14ac:dyDescent="0.2">
      <c r="A33" s="18" t="s">
        <v>17</v>
      </c>
      <c r="B33" s="19">
        <f>ROUND(L33/12*$J$2,2)</f>
        <v>1234.49</v>
      </c>
      <c r="C33" s="19">
        <f>ROUND(M33/12*$J$2,2)</f>
        <v>3.7</v>
      </c>
      <c r="D33" s="20">
        <f>ROUND((B33+C33)/12,2)</f>
        <v>103.18</v>
      </c>
      <c r="E33" s="19">
        <f>ROUND(N33/12*$J$2,2)</f>
        <v>86.54</v>
      </c>
      <c r="F33" s="20">
        <f>28*$J$2</f>
        <v>23.3324</v>
      </c>
      <c r="G33" s="19">
        <f>SUM(B33:F33)</f>
        <v>1451.2424000000001</v>
      </c>
      <c r="H33" s="19">
        <f>ROUND(G33+F33-G33*2%,2)</f>
        <v>1445.55</v>
      </c>
      <c r="I33" s="29">
        <f>ROUND((G33-F33)*40.38%+F33*32.7%+(G33)*1.61%,2)</f>
        <v>607.58000000000004</v>
      </c>
      <c r="J33" s="22">
        <f t="shared" ref="J33:J34" si="19">H33+I33</f>
        <v>2053.13</v>
      </c>
      <c r="K33" s="23"/>
      <c r="L33" s="21">
        <v>17777.3</v>
      </c>
      <c r="M33" s="21">
        <v>53.28</v>
      </c>
      <c r="N33" s="21">
        <v>1246.1600000000001</v>
      </c>
      <c r="O33" s="24"/>
      <c r="P33" s="25"/>
    </row>
    <row r="34" spans="1:16" ht="15" x14ac:dyDescent="0.2">
      <c r="A34" s="18" t="s">
        <v>18</v>
      </c>
      <c r="B34" s="19">
        <f t="shared" ref="B34:C37" si="20">ROUND(L34/12*$J$2,2)</f>
        <v>1370.35</v>
      </c>
      <c r="C34" s="19">
        <f t="shared" si="20"/>
        <v>4.1100000000000003</v>
      </c>
      <c r="D34" s="20">
        <f t="shared" ref="D34:D37" si="21">ROUND((B34+C34)/12,2)</f>
        <v>114.54</v>
      </c>
      <c r="E34" s="19">
        <f t="shared" ref="E34:E37" si="22">ROUND(N34/12*$J$2,2)</f>
        <v>86.54</v>
      </c>
      <c r="F34" s="20">
        <f>22*$J$2</f>
        <v>18.332599999999999</v>
      </c>
      <c r="G34" s="19">
        <f>SUM(B34:F34)</f>
        <v>1593.8725999999997</v>
      </c>
      <c r="H34" s="19">
        <f t="shared" ref="H34:H37" si="23">ROUND(G34+F34-G34*2%,2)</f>
        <v>1580.33</v>
      </c>
      <c r="I34" s="29">
        <f t="shared" ref="I34:I36" si="24">ROUND((G34-F34)*40.38%+F34*32.7%+(G34)*1.61%,2)</f>
        <v>667.86</v>
      </c>
      <c r="J34" s="22">
        <f t="shared" si="19"/>
        <v>2248.19</v>
      </c>
      <c r="K34" s="23"/>
      <c r="L34" s="21">
        <v>19733.830000000002</v>
      </c>
      <c r="M34" s="21">
        <v>59.16</v>
      </c>
      <c r="N34" s="21">
        <v>1246.1600000000001</v>
      </c>
      <c r="O34" s="24"/>
      <c r="P34" s="25"/>
    </row>
    <row r="35" spans="1:16" ht="15" x14ac:dyDescent="0.2">
      <c r="A35" s="18" t="s">
        <v>2</v>
      </c>
      <c r="B35" s="19">
        <f t="shared" si="20"/>
        <v>1413.43</v>
      </c>
      <c r="C35" s="19">
        <f t="shared" si="20"/>
        <v>4.24</v>
      </c>
      <c r="D35" s="20">
        <f t="shared" si="21"/>
        <v>118.14</v>
      </c>
      <c r="E35" s="19">
        <f t="shared" si="22"/>
        <v>117.63</v>
      </c>
      <c r="F35" s="20">
        <f>20*$J$2</f>
        <v>16.666</v>
      </c>
      <c r="G35" s="19">
        <f>SUM(B35:F35)</f>
        <v>1670.106</v>
      </c>
      <c r="H35" s="19">
        <f t="shared" si="23"/>
        <v>1653.37</v>
      </c>
      <c r="I35" s="29">
        <f t="shared" si="24"/>
        <v>700</v>
      </c>
      <c r="J35" s="22">
        <f>H35+I35</f>
        <v>2353.37</v>
      </c>
      <c r="K35" s="23"/>
      <c r="L35" s="21">
        <v>20354.2</v>
      </c>
      <c r="M35" s="21">
        <v>61.08</v>
      </c>
      <c r="N35" s="21">
        <v>1693.97</v>
      </c>
      <c r="O35" s="24"/>
      <c r="P35" s="25"/>
    </row>
    <row r="36" spans="1:16" ht="15" x14ac:dyDescent="0.2">
      <c r="A36" s="18" t="s">
        <v>3</v>
      </c>
      <c r="B36" s="19">
        <f t="shared" si="20"/>
        <v>1653.19</v>
      </c>
      <c r="C36" s="19">
        <f t="shared" si="20"/>
        <v>4.96</v>
      </c>
      <c r="D36" s="20">
        <f t="shared" si="21"/>
        <v>138.18</v>
      </c>
      <c r="E36" s="19">
        <f t="shared" si="22"/>
        <v>168.2</v>
      </c>
      <c r="F36" s="20">
        <f>9*$J$2</f>
        <v>7.4997000000000007</v>
      </c>
      <c r="G36" s="19">
        <f>SUM(B36:F36)</f>
        <v>1972.0297000000003</v>
      </c>
      <c r="H36" s="19">
        <f t="shared" si="23"/>
        <v>1940.09</v>
      </c>
      <c r="I36" s="29">
        <f t="shared" si="24"/>
        <v>827.48</v>
      </c>
      <c r="J36" s="22">
        <f>H36+I36</f>
        <v>2767.5699999999997</v>
      </c>
      <c r="K36" s="23"/>
      <c r="L36" s="21">
        <v>23806.83</v>
      </c>
      <c r="M36" s="21">
        <v>71.400000000000006</v>
      </c>
      <c r="N36" s="21">
        <v>2422.16</v>
      </c>
      <c r="O36" s="24"/>
      <c r="P36" s="25"/>
    </row>
    <row r="37" spans="1:16" ht="15" x14ac:dyDescent="0.2">
      <c r="A37" s="18" t="s">
        <v>4</v>
      </c>
      <c r="B37" s="19">
        <f t="shared" si="20"/>
        <v>1867.29</v>
      </c>
      <c r="C37" s="19">
        <f t="shared" si="20"/>
        <v>5.6</v>
      </c>
      <c r="D37" s="20">
        <f t="shared" si="21"/>
        <v>156.07</v>
      </c>
      <c r="E37" s="19">
        <f t="shared" si="22"/>
        <v>202.03</v>
      </c>
      <c r="F37" s="19"/>
      <c r="G37" s="19">
        <f>SUM(B37:F37)</f>
        <v>2230.9899999999998</v>
      </c>
      <c r="H37" s="19">
        <f t="shared" si="23"/>
        <v>2186.37</v>
      </c>
      <c r="I37" s="29">
        <f>ROUND((G37-F37)*40.38%+(G37-F37)*1.61%+((B37+C37)-(556.86*$J$2))*4.36%,2)</f>
        <v>998.22</v>
      </c>
      <c r="J37" s="22">
        <f>H37+I37</f>
        <v>3184.59</v>
      </c>
      <c r="K37" s="23"/>
      <c r="L37" s="21">
        <v>26890.05</v>
      </c>
      <c r="M37" s="21">
        <v>80.64</v>
      </c>
      <c r="N37" s="21">
        <v>2909.4</v>
      </c>
      <c r="O37" s="24"/>
      <c r="P37" s="25"/>
    </row>
    <row r="38" spans="1:16" x14ac:dyDescent="0.2">
      <c r="K38" s="23"/>
    </row>
    <row r="39" spans="1:16" ht="29.25" customHeight="1" x14ac:dyDescent="0.2">
      <c r="B39" s="10"/>
      <c r="C39" s="10"/>
      <c r="D39" s="10"/>
      <c r="G39" s="14"/>
      <c r="H39" s="10"/>
      <c r="J39" s="15" t="s">
        <v>36</v>
      </c>
      <c r="K39" s="23"/>
      <c r="L39" s="9"/>
      <c r="M39" s="10"/>
      <c r="N39" s="10"/>
      <c r="O39" s="10"/>
    </row>
    <row r="40" spans="1:16" ht="38.25" x14ac:dyDescent="0.2">
      <c r="A40" s="5" t="s">
        <v>19</v>
      </c>
      <c r="B40" s="6" t="s">
        <v>8</v>
      </c>
      <c r="C40" s="6" t="s">
        <v>6</v>
      </c>
      <c r="D40" s="5" t="s">
        <v>11</v>
      </c>
      <c r="E40" s="6" t="s">
        <v>7</v>
      </c>
      <c r="F40" s="6" t="s">
        <v>12</v>
      </c>
      <c r="G40" s="5" t="s">
        <v>0</v>
      </c>
      <c r="H40" s="6" t="s">
        <v>1</v>
      </c>
      <c r="I40" s="6" t="s">
        <v>13</v>
      </c>
      <c r="J40" s="6" t="s">
        <v>14</v>
      </c>
      <c r="K40" s="23"/>
      <c r="L40" s="4" t="s">
        <v>10</v>
      </c>
      <c r="M40" s="16" t="s">
        <v>6</v>
      </c>
      <c r="N40" s="4" t="s">
        <v>20</v>
      </c>
      <c r="O40" s="3"/>
    </row>
    <row r="41" spans="1:16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3"/>
      <c r="P41" s="17"/>
    </row>
    <row r="42" spans="1:16" ht="15" x14ac:dyDescent="0.2">
      <c r="A42" s="18" t="s">
        <v>17</v>
      </c>
      <c r="B42" s="19">
        <f>ROUND(L42/12*$J$2,2)</f>
        <v>1234.49</v>
      </c>
      <c r="C42" s="19">
        <f>ROUND(M42/12*$J$2,2)</f>
        <v>6.17</v>
      </c>
      <c r="D42" s="20">
        <f>ROUND((B42+C42)/12,2)</f>
        <v>103.39</v>
      </c>
      <c r="E42" s="19">
        <f>ROUND(N42/12*$J$2,2)</f>
        <v>86.54</v>
      </c>
      <c r="F42" s="20">
        <f>28*$J$2</f>
        <v>23.3324</v>
      </c>
      <c r="G42" s="19">
        <f>SUM(B42:F42)</f>
        <v>1453.9224000000002</v>
      </c>
      <c r="H42" s="19">
        <f>ROUND(G42+F42-G42*2%,2)</f>
        <v>1448.18</v>
      </c>
      <c r="I42" s="29">
        <f>ROUND((G42-F42)*40.38%+F42*32.7%+(G42)*1.61%,2)</f>
        <v>608.71</v>
      </c>
      <c r="J42" s="22">
        <f>H42+I42</f>
        <v>2056.8900000000003</v>
      </c>
      <c r="K42" s="23"/>
      <c r="L42" s="21">
        <v>17777.3</v>
      </c>
      <c r="M42" s="21">
        <v>88.92</v>
      </c>
      <c r="N42" s="21">
        <v>1246.1600000000001</v>
      </c>
      <c r="O42" s="24"/>
      <c r="P42" s="25"/>
    </row>
    <row r="43" spans="1:16" ht="15" x14ac:dyDescent="0.2">
      <c r="A43" s="18" t="s">
        <v>18</v>
      </c>
      <c r="B43" s="19">
        <f t="shared" ref="B43:C46" si="25">ROUND(L43/12*$J$2,2)</f>
        <v>1370.35</v>
      </c>
      <c r="C43" s="19">
        <f t="shared" si="25"/>
        <v>6.85</v>
      </c>
      <c r="D43" s="20">
        <f t="shared" ref="D43:D46" si="26">ROUND((B43+C43)/12,2)</f>
        <v>114.77</v>
      </c>
      <c r="E43" s="19">
        <f t="shared" ref="E43:E46" si="27">ROUND(N43/12*$J$2,2)</f>
        <v>86.54</v>
      </c>
      <c r="F43" s="20">
        <f>22*$J$2</f>
        <v>18.332599999999999</v>
      </c>
      <c r="G43" s="19">
        <f>SUM(B43:F43)</f>
        <v>1596.8425999999997</v>
      </c>
      <c r="H43" s="19">
        <f t="shared" ref="H43:H46" si="28">ROUND(G43+F43-G43*2%,2)</f>
        <v>1583.24</v>
      </c>
      <c r="I43" s="29">
        <f t="shared" ref="I43:I45" si="29">ROUND((G43-F43)*40.38%+F43*32.7%+(G43)*1.61%,2)</f>
        <v>669.11</v>
      </c>
      <c r="J43" s="22">
        <f t="shared" ref="J43" si="30">H43+I43</f>
        <v>2252.35</v>
      </c>
      <c r="K43" s="23"/>
      <c r="L43" s="21">
        <v>19733.830000000002</v>
      </c>
      <c r="M43" s="21">
        <v>98.64</v>
      </c>
      <c r="N43" s="21">
        <v>1246.1600000000001</v>
      </c>
      <c r="O43" s="24"/>
      <c r="P43" s="25"/>
    </row>
    <row r="44" spans="1:16" ht="15" x14ac:dyDescent="0.2">
      <c r="A44" s="18" t="s">
        <v>2</v>
      </c>
      <c r="B44" s="19">
        <f t="shared" si="25"/>
        <v>1413.43</v>
      </c>
      <c r="C44" s="19">
        <f t="shared" si="25"/>
        <v>7.07</v>
      </c>
      <c r="D44" s="20">
        <f t="shared" si="26"/>
        <v>118.38</v>
      </c>
      <c r="E44" s="19">
        <f t="shared" si="27"/>
        <v>117.63</v>
      </c>
      <c r="F44" s="20">
        <f>20*$J$2</f>
        <v>16.666</v>
      </c>
      <c r="G44" s="19">
        <f>SUM(B44:F44)</f>
        <v>1673.1760000000002</v>
      </c>
      <c r="H44" s="19">
        <f t="shared" si="28"/>
        <v>1656.38</v>
      </c>
      <c r="I44" s="29">
        <f t="shared" si="29"/>
        <v>701.29</v>
      </c>
      <c r="J44" s="22">
        <f>H44+I44</f>
        <v>2357.67</v>
      </c>
      <c r="K44" s="23"/>
      <c r="L44" s="21">
        <v>20354.2</v>
      </c>
      <c r="M44" s="21">
        <v>101.76</v>
      </c>
      <c r="N44" s="21">
        <v>1693.97</v>
      </c>
      <c r="O44" s="24"/>
      <c r="P44" s="25"/>
    </row>
    <row r="45" spans="1:16" ht="15" x14ac:dyDescent="0.2">
      <c r="A45" s="18" t="s">
        <v>3</v>
      </c>
      <c r="B45" s="19">
        <f t="shared" si="25"/>
        <v>1653.19</v>
      </c>
      <c r="C45" s="19">
        <f t="shared" si="25"/>
        <v>8.27</v>
      </c>
      <c r="D45" s="20">
        <f t="shared" si="26"/>
        <v>138.46</v>
      </c>
      <c r="E45" s="19">
        <f t="shared" si="27"/>
        <v>168.2</v>
      </c>
      <c r="F45" s="20">
        <f>9*$J$2</f>
        <v>7.4997000000000007</v>
      </c>
      <c r="G45" s="19">
        <f>SUM(B45:F45)</f>
        <v>1975.6197000000002</v>
      </c>
      <c r="H45" s="19">
        <f t="shared" si="28"/>
        <v>1943.61</v>
      </c>
      <c r="I45" s="29">
        <f t="shared" si="29"/>
        <v>828.99</v>
      </c>
      <c r="J45" s="22">
        <f>H45+I45</f>
        <v>2772.6</v>
      </c>
      <c r="K45" s="23"/>
      <c r="L45" s="21">
        <v>23806.83</v>
      </c>
      <c r="M45" s="21">
        <v>119.04</v>
      </c>
      <c r="N45" s="21">
        <v>2422.16</v>
      </c>
      <c r="O45" s="24"/>
      <c r="P45" s="25"/>
    </row>
    <row r="46" spans="1:16" ht="15" x14ac:dyDescent="0.2">
      <c r="A46" s="18" t="s">
        <v>4</v>
      </c>
      <c r="B46" s="19">
        <f t="shared" si="25"/>
        <v>1867.29</v>
      </c>
      <c r="C46" s="19">
        <f t="shared" si="25"/>
        <v>9.33</v>
      </c>
      <c r="D46" s="20">
        <f t="shared" si="26"/>
        <v>156.38999999999999</v>
      </c>
      <c r="E46" s="19">
        <f t="shared" si="27"/>
        <v>202.03</v>
      </c>
      <c r="F46" s="19"/>
      <c r="G46" s="19">
        <f>SUM(B46:F46)</f>
        <v>2235.04</v>
      </c>
      <c r="H46" s="19">
        <f t="shared" si="28"/>
        <v>2190.34</v>
      </c>
      <c r="I46" s="29">
        <f>ROUND((G46-F46)*40.38%+(G46-F46)*1.61%+((B46+C46)-(556.86*$J$2))*4.36%,2)</f>
        <v>1000.08</v>
      </c>
      <c r="J46" s="22">
        <f>H46+I46</f>
        <v>3190.42</v>
      </c>
      <c r="K46" s="23"/>
      <c r="L46" s="21">
        <v>26890.05</v>
      </c>
      <c r="M46" s="21">
        <v>134.4</v>
      </c>
      <c r="N46" s="21">
        <v>2909.4</v>
      </c>
      <c r="O46" s="24"/>
      <c r="P46" s="25"/>
    </row>
    <row r="47" spans="1:16" x14ac:dyDescent="0.2">
      <c r="K47" s="23"/>
    </row>
    <row r="48" spans="1:16" ht="29.25" customHeight="1" x14ac:dyDescent="0.2">
      <c r="B48" s="10"/>
      <c r="C48" s="10"/>
      <c r="D48" s="10"/>
      <c r="G48" s="14"/>
      <c r="H48" s="10"/>
      <c r="J48" s="15" t="s">
        <v>38</v>
      </c>
      <c r="K48" s="23"/>
      <c r="L48" s="9"/>
      <c r="M48" s="10"/>
      <c r="N48" s="10"/>
      <c r="O48" s="10"/>
    </row>
    <row r="49" spans="1:16" ht="89.25" x14ac:dyDescent="0.2">
      <c r="A49" s="5" t="s">
        <v>19</v>
      </c>
      <c r="B49" s="6" t="s">
        <v>8</v>
      </c>
      <c r="C49" s="6" t="s">
        <v>6</v>
      </c>
      <c r="D49" s="5" t="s">
        <v>11</v>
      </c>
      <c r="E49" s="6" t="s">
        <v>7</v>
      </c>
      <c r="F49" s="6" t="s">
        <v>37</v>
      </c>
      <c r="G49" s="5" t="s">
        <v>0</v>
      </c>
      <c r="H49" s="6" t="s">
        <v>1</v>
      </c>
      <c r="I49" s="6" t="s">
        <v>13</v>
      </c>
      <c r="J49" s="6" t="s">
        <v>14</v>
      </c>
      <c r="K49" s="23"/>
      <c r="L49" s="4" t="s">
        <v>10</v>
      </c>
      <c r="M49" s="16" t="s">
        <v>6</v>
      </c>
      <c r="N49" s="4" t="s">
        <v>20</v>
      </c>
      <c r="O49" s="3"/>
    </row>
    <row r="50" spans="1:16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3"/>
      <c r="P50" s="17"/>
    </row>
    <row r="51" spans="1:16" ht="15" x14ac:dyDescent="0.2">
      <c r="A51" s="18" t="s">
        <v>17</v>
      </c>
      <c r="B51" s="19">
        <f>ROUND(L51/12*$J$2,2)</f>
        <v>1234.49</v>
      </c>
      <c r="C51" s="19">
        <f>ROUND(M51/12*$J$2,2)</f>
        <v>6.17</v>
      </c>
      <c r="D51" s="20">
        <f>ROUND((B51+C51)/12,2)</f>
        <v>103.39</v>
      </c>
      <c r="E51" s="19">
        <f>ROUND(N51/12*$J$2,2)</f>
        <v>86.54</v>
      </c>
      <c r="F51" s="20">
        <f>(28+22.22)*$J$2</f>
        <v>41.848326</v>
      </c>
      <c r="G51" s="19">
        <f>SUM(B51:F51)</f>
        <v>1472.4383260000002</v>
      </c>
      <c r="H51" s="19">
        <f>ROUND(G51+F51-G51*2%,2)</f>
        <v>1484.84</v>
      </c>
      <c r="I51" s="29">
        <f>ROUND((G51-F51)*40.38%+F51*32.7%+(G51)*1.61%,2)</f>
        <v>615.05999999999995</v>
      </c>
      <c r="J51" s="22">
        <f>H51+I51</f>
        <v>2099.8999999999996</v>
      </c>
      <c r="K51" s="23"/>
      <c r="L51" s="21">
        <v>17777.3</v>
      </c>
      <c r="M51" s="21">
        <v>88.92</v>
      </c>
      <c r="N51" s="21">
        <v>1246.1600000000001</v>
      </c>
      <c r="O51" s="24"/>
      <c r="P51" s="25"/>
    </row>
    <row r="52" spans="1:16" ht="15" x14ac:dyDescent="0.2">
      <c r="A52" s="18" t="s">
        <v>18</v>
      </c>
      <c r="B52" s="19">
        <f t="shared" ref="B52:C55" si="31">ROUND(L52/12*$J$2,2)</f>
        <v>1370.35</v>
      </c>
      <c r="C52" s="19">
        <f t="shared" si="31"/>
        <v>6.85</v>
      </c>
      <c r="D52" s="20">
        <f t="shared" ref="D52:D55" si="32">ROUND((B52+C52)/12,2)</f>
        <v>114.77</v>
      </c>
      <c r="E52" s="19">
        <f t="shared" ref="E52:E55" si="33">ROUND(N52/12*$J$2,2)</f>
        <v>86.54</v>
      </c>
      <c r="F52" s="20">
        <f>(22+24.67)*$J$2</f>
        <v>38.890111000000005</v>
      </c>
      <c r="G52" s="19">
        <f>SUM(B52:F52)</f>
        <v>1617.4001109999997</v>
      </c>
      <c r="H52" s="19">
        <f t="shared" ref="H52:H55" si="34">ROUND(G52+F52-G52*2%,2)</f>
        <v>1623.94</v>
      </c>
      <c r="I52" s="29">
        <f t="shared" ref="I52:I54" si="35">ROUND((G52-F52)*40.38%+F52*32.7%+(G52)*1.61%,2)</f>
        <v>676.16</v>
      </c>
      <c r="J52" s="22">
        <f t="shared" ref="J52" si="36">H52+I52</f>
        <v>2300.1</v>
      </c>
      <c r="K52" s="23"/>
      <c r="L52" s="21">
        <v>19733.830000000002</v>
      </c>
      <c r="M52" s="21">
        <v>98.64</v>
      </c>
      <c r="N52" s="21">
        <v>1246.1600000000001</v>
      </c>
      <c r="O52" s="24"/>
      <c r="P52" s="25"/>
    </row>
    <row r="53" spans="1:16" ht="15" x14ac:dyDescent="0.2">
      <c r="A53" s="18" t="s">
        <v>2</v>
      </c>
      <c r="B53" s="19">
        <f t="shared" si="31"/>
        <v>1413.43</v>
      </c>
      <c r="C53" s="19">
        <f t="shared" si="31"/>
        <v>7.07</v>
      </c>
      <c r="D53" s="20">
        <f t="shared" si="32"/>
        <v>118.38</v>
      </c>
      <c r="E53" s="19">
        <f t="shared" si="33"/>
        <v>117.63</v>
      </c>
      <c r="F53" s="20">
        <f>(20+25.44)*$J$2</f>
        <v>37.865152000000002</v>
      </c>
      <c r="G53" s="19">
        <f>SUM(B53:F53)</f>
        <v>1694.3751520000003</v>
      </c>
      <c r="H53" s="19">
        <f t="shared" si="34"/>
        <v>1698.35</v>
      </c>
      <c r="I53" s="29">
        <f t="shared" si="35"/>
        <v>708.56</v>
      </c>
      <c r="J53" s="22">
        <f>H53+I53</f>
        <v>2406.91</v>
      </c>
      <c r="K53" s="23"/>
      <c r="L53" s="21">
        <v>20354.2</v>
      </c>
      <c r="M53" s="21">
        <v>101.76</v>
      </c>
      <c r="N53" s="21">
        <v>1693.97</v>
      </c>
      <c r="O53" s="24"/>
      <c r="P53" s="25"/>
    </row>
    <row r="54" spans="1:16" ht="15" x14ac:dyDescent="0.2">
      <c r="A54" s="18" t="s">
        <v>3</v>
      </c>
      <c r="B54" s="19">
        <f t="shared" si="31"/>
        <v>1653.19</v>
      </c>
      <c r="C54" s="19">
        <f t="shared" si="31"/>
        <v>8.27</v>
      </c>
      <c r="D54" s="20">
        <f t="shared" si="32"/>
        <v>138.46</v>
      </c>
      <c r="E54" s="19">
        <f t="shared" si="33"/>
        <v>168.2</v>
      </c>
      <c r="F54" s="20">
        <f>(9+29.76)*$J$2</f>
        <v>32.298708000000005</v>
      </c>
      <c r="G54" s="19">
        <f>SUM(B54:F54)</f>
        <v>2000.4187080000002</v>
      </c>
      <c r="H54" s="19">
        <f t="shared" si="34"/>
        <v>1992.71</v>
      </c>
      <c r="I54" s="29">
        <f t="shared" si="35"/>
        <v>837.5</v>
      </c>
      <c r="J54" s="22">
        <f>H54+I54</f>
        <v>2830.21</v>
      </c>
      <c r="K54" s="23"/>
      <c r="L54" s="21">
        <v>23806.83</v>
      </c>
      <c r="M54" s="21">
        <v>119.04</v>
      </c>
      <c r="N54" s="21">
        <v>2422.16</v>
      </c>
      <c r="O54" s="24"/>
      <c r="P54" s="25"/>
    </row>
    <row r="55" spans="1:16" ht="15" x14ac:dyDescent="0.2">
      <c r="A55" s="18" t="s">
        <v>4</v>
      </c>
      <c r="B55" s="19">
        <f t="shared" si="31"/>
        <v>1867.29</v>
      </c>
      <c r="C55" s="19">
        <f t="shared" si="31"/>
        <v>9.33</v>
      </c>
      <c r="D55" s="20">
        <f t="shared" si="32"/>
        <v>156.38999999999999</v>
      </c>
      <c r="E55" s="19">
        <f t="shared" si="33"/>
        <v>202.03</v>
      </c>
      <c r="F55" s="19">
        <f>33.61*$J$2</f>
        <v>28.007213</v>
      </c>
      <c r="G55" s="19">
        <f>SUM(B55:F55)</f>
        <v>2263.0472129999998</v>
      </c>
      <c r="H55" s="19">
        <f t="shared" si="34"/>
        <v>2245.79</v>
      </c>
      <c r="I55" s="29">
        <f>ROUND((G55-F55)*40.38%+(G55-F55)*1.61%+((B55+C55)-(556.86*$J$2))*4.36%,2)</f>
        <v>1000.08</v>
      </c>
      <c r="J55" s="22">
        <f>H55+I55</f>
        <v>3245.87</v>
      </c>
      <c r="K55" s="23"/>
      <c r="L55" s="21">
        <v>26890.05</v>
      </c>
      <c r="M55" s="21">
        <v>134.4</v>
      </c>
      <c r="N55" s="21">
        <v>2909.4</v>
      </c>
      <c r="O55" s="24"/>
      <c r="P55" s="25"/>
    </row>
    <row r="56" spans="1:16" x14ac:dyDescent="0.2">
      <c r="K56" s="23"/>
    </row>
    <row r="57" spans="1:16" ht="29.25" customHeight="1" x14ac:dyDescent="0.2">
      <c r="B57" s="10"/>
      <c r="C57" s="10"/>
      <c r="D57" s="10"/>
      <c r="G57" s="14"/>
      <c r="H57" s="10"/>
      <c r="J57" s="15" t="s">
        <v>23</v>
      </c>
      <c r="K57" s="23"/>
      <c r="L57" s="9"/>
      <c r="M57" s="10"/>
      <c r="N57" s="10"/>
      <c r="O57" s="10"/>
    </row>
    <row r="58" spans="1:16" ht="51" x14ac:dyDescent="0.2">
      <c r="A58" s="5" t="s">
        <v>19</v>
      </c>
      <c r="B58" s="6" t="s">
        <v>8</v>
      </c>
      <c r="C58" s="6" t="s">
        <v>6</v>
      </c>
      <c r="D58" s="5" t="s">
        <v>11</v>
      </c>
      <c r="E58" s="6" t="s">
        <v>7</v>
      </c>
      <c r="F58" s="6" t="s">
        <v>39</v>
      </c>
      <c r="G58" s="5" t="s">
        <v>0</v>
      </c>
      <c r="H58" s="6" t="s">
        <v>1</v>
      </c>
      <c r="I58" s="6" t="s">
        <v>13</v>
      </c>
      <c r="J58" s="6" t="s">
        <v>14</v>
      </c>
      <c r="K58" s="23"/>
      <c r="L58" s="4" t="s">
        <v>10</v>
      </c>
      <c r="M58" s="16" t="s">
        <v>6</v>
      </c>
      <c r="N58" s="4" t="s">
        <v>20</v>
      </c>
      <c r="O58" s="3"/>
    </row>
    <row r="59" spans="1:16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3"/>
      <c r="P59" s="17"/>
    </row>
    <row r="60" spans="1:16" ht="15" x14ac:dyDescent="0.2">
      <c r="A60" s="18" t="s">
        <v>17</v>
      </c>
      <c r="B60" s="19">
        <f>ROUND(L60/12*$J$2,2)</f>
        <v>1255.1400000000001</v>
      </c>
      <c r="C60" s="19">
        <f>ROUND(M60/12*$J$2,2)</f>
        <v>6.27</v>
      </c>
      <c r="D60" s="20">
        <f>ROUND((B60+C60)/12,2)</f>
        <v>105.12</v>
      </c>
      <c r="E60" s="19">
        <f>ROUND(N60/12*$J$2,2)</f>
        <v>86.54</v>
      </c>
      <c r="F60" s="19">
        <f>22.59*$J$2</f>
        <v>18.824247</v>
      </c>
      <c r="G60" s="19">
        <f>SUM(B60:F60)</f>
        <v>1471.8942470000002</v>
      </c>
      <c r="H60" s="19">
        <f>ROUND(G60+F60-G60*2%,2)</f>
        <v>1461.28</v>
      </c>
      <c r="I60" s="29">
        <f>ROUND((G60-F60)*40.38%+F60*32.7%+(G60)*1.61%,2)</f>
        <v>616.6</v>
      </c>
      <c r="J60" s="22">
        <f>H60+I60</f>
        <v>2077.88</v>
      </c>
      <c r="K60" s="23"/>
      <c r="L60" s="21">
        <v>18074.78</v>
      </c>
      <c r="M60" s="21">
        <v>90.36</v>
      </c>
      <c r="N60" s="21">
        <v>1246.1600000000001</v>
      </c>
      <c r="O60" s="24"/>
      <c r="P60" s="25"/>
    </row>
    <row r="61" spans="1:16" ht="15" x14ac:dyDescent="0.2">
      <c r="A61" s="18" t="s">
        <v>18</v>
      </c>
      <c r="B61" s="19">
        <f t="shared" ref="B61:C64" si="37">ROUND(L61/12*$J$2,2)</f>
        <v>1386.57</v>
      </c>
      <c r="C61" s="19">
        <f t="shared" si="37"/>
        <v>6.93</v>
      </c>
      <c r="D61" s="20">
        <f t="shared" ref="D61:D64" si="38">ROUND((B61+C61)/12,2)</f>
        <v>116.13</v>
      </c>
      <c r="E61" s="19">
        <f t="shared" ref="E61:E64" si="39">ROUND(N61/12*$J$2,2)</f>
        <v>86.54</v>
      </c>
      <c r="F61" s="19">
        <f>24.96*$J$2</f>
        <v>20.799168000000002</v>
      </c>
      <c r="G61" s="19">
        <f>SUM(B61:F61)</f>
        <v>1616.9691680000001</v>
      </c>
      <c r="H61" s="19">
        <f t="shared" ref="H61:H64" si="40">ROUND(G61+F61-G61*2%,2)</f>
        <v>1605.43</v>
      </c>
      <c r="I61" s="29">
        <f t="shared" ref="I61:I63" si="41">ROUND((G61-F61)*40.38%+F61*32.7%+(G61)*1.61%,2)</f>
        <v>677.37</v>
      </c>
      <c r="J61" s="22">
        <f t="shared" ref="J61" si="42">H61+I61</f>
        <v>2282.8000000000002</v>
      </c>
      <c r="K61" s="23"/>
      <c r="L61" s="21">
        <v>19967.47</v>
      </c>
      <c r="M61" s="21">
        <v>99.84</v>
      </c>
      <c r="N61" s="21">
        <v>1246.1600000000001</v>
      </c>
      <c r="O61" s="24"/>
      <c r="P61" s="25"/>
    </row>
    <row r="62" spans="1:16" ht="15" x14ac:dyDescent="0.2">
      <c r="A62" s="18" t="s">
        <v>2</v>
      </c>
      <c r="B62" s="19">
        <f t="shared" si="37"/>
        <v>1428.18</v>
      </c>
      <c r="C62" s="19">
        <f t="shared" si="37"/>
        <v>7.14</v>
      </c>
      <c r="D62" s="20">
        <f t="shared" si="38"/>
        <v>119.61</v>
      </c>
      <c r="E62" s="19">
        <f t="shared" si="39"/>
        <v>117.63</v>
      </c>
      <c r="F62" s="19">
        <f>25.71*$J$2</f>
        <v>21.424143000000001</v>
      </c>
      <c r="G62" s="19">
        <f>SUM(B62:F62)</f>
        <v>1693.9841429999999</v>
      </c>
      <c r="H62" s="19">
        <f t="shared" si="40"/>
        <v>1681.53</v>
      </c>
      <c r="I62" s="29">
        <f t="shared" si="41"/>
        <v>709.66</v>
      </c>
      <c r="J62" s="22">
        <f>H62+I62</f>
        <v>2391.19</v>
      </c>
      <c r="K62" s="23"/>
      <c r="L62" s="21">
        <v>20566.599999999999</v>
      </c>
      <c r="M62" s="21">
        <v>102.84</v>
      </c>
      <c r="N62" s="21">
        <v>1693.97</v>
      </c>
      <c r="O62" s="24"/>
      <c r="P62" s="25"/>
    </row>
    <row r="63" spans="1:16" ht="15" x14ac:dyDescent="0.2">
      <c r="A63" s="18" t="s">
        <v>3</v>
      </c>
      <c r="B63" s="19">
        <f t="shared" si="37"/>
        <v>1659.83</v>
      </c>
      <c r="C63" s="19">
        <f t="shared" si="37"/>
        <v>8.3000000000000007</v>
      </c>
      <c r="D63" s="20">
        <f t="shared" si="38"/>
        <v>139.01</v>
      </c>
      <c r="E63" s="19">
        <f t="shared" si="39"/>
        <v>168.2</v>
      </c>
      <c r="F63" s="19">
        <f>29.88*$J$2</f>
        <v>24.899004000000001</v>
      </c>
      <c r="G63" s="19">
        <f>SUM(B63:F63)</f>
        <v>2000.239004</v>
      </c>
      <c r="H63" s="19">
        <f t="shared" si="40"/>
        <v>1985.13</v>
      </c>
      <c r="I63" s="29">
        <f t="shared" si="41"/>
        <v>837.99</v>
      </c>
      <c r="J63" s="22">
        <f>H63+I63</f>
        <v>2823.12</v>
      </c>
      <c r="K63" s="23"/>
      <c r="L63" s="21">
        <v>23902.47</v>
      </c>
      <c r="M63" s="21">
        <v>119.52</v>
      </c>
      <c r="N63" s="21">
        <v>2422.16</v>
      </c>
      <c r="O63" s="24"/>
      <c r="P63" s="25"/>
    </row>
    <row r="64" spans="1:16" ht="15" x14ac:dyDescent="0.2">
      <c r="A64" s="18" t="s">
        <v>4</v>
      </c>
      <c r="B64" s="19">
        <f t="shared" si="37"/>
        <v>1867.29</v>
      </c>
      <c r="C64" s="19">
        <f t="shared" si="37"/>
        <v>9.33</v>
      </c>
      <c r="D64" s="20">
        <f t="shared" si="38"/>
        <v>156.38999999999999</v>
      </c>
      <c r="E64" s="19">
        <f t="shared" si="39"/>
        <v>202.03</v>
      </c>
      <c r="F64" s="19">
        <f>33.61*$J$2</f>
        <v>28.007213</v>
      </c>
      <c r="G64" s="19">
        <f>SUM(B64:F64)</f>
        <v>2263.0472129999998</v>
      </c>
      <c r="H64" s="19">
        <f t="shared" si="40"/>
        <v>2245.79</v>
      </c>
      <c r="I64" s="29">
        <f>ROUND((G64-F64)*40.38%+(G64-F64)*1.61%+((B64+C64)-(556.86*$J$2))*4.36%,2)</f>
        <v>1000.08</v>
      </c>
      <c r="J64" s="22">
        <f>H64+I64</f>
        <v>3245.87</v>
      </c>
      <c r="K64" s="23"/>
      <c r="L64" s="21">
        <v>26890.05</v>
      </c>
      <c r="M64" s="21">
        <v>134.4</v>
      </c>
      <c r="N64" s="21">
        <v>2909.4</v>
      </c>
      <c r="O64" s="24"/>
      <c r="P64" s="25"/>
    </row>
    <row r="66" spans="1:16" ht="15" x14ac:dyDescent="0.2">
      <c r="A66" s="30" t="s">
        <v>9</v>
      </c>
      <c r="B66" s="30" t="s">
        <v>25</v>
      </c>
      <c r="C66" s="30"/>
      <c r="D66" s="30"/>
      <c r="E66" s="31"/>
      <c r="F66" s="30"/>
      <c r="G66" s="30"/>
      <c r="M66" s="26"/>
      <c r="N66" s="26"/>
      <c r="O66" s="27"/>
      <c r="P66" s="25"/>
    </row>
    <row r="67" spans="1:16" x14ac:dyDescent="0.2">
      <c r="A67" s="30" t="s">
        <v>26</v>
      </c>
      <c r="B67" s="30"/>
      <c r="C67" s="30"/>
      <c r="D67" s="30"/>
      <c r="E67" s="30"/>
      <c r="F67" s="30"/>
      <c r="G67" s="30" t="s">
        <v>27</v>
      </c>
    </row>
    <row r="68" spans="1:16" x14ac:dyDescent="0.2">
      <c r="A68" s="30" t="s">
        <v>28</v>
      </c>
      <c r="B68" s="30"/>
      <c r="C68" s="30"/>
      <c r="D68" s="30"/>
      <c r="E68" s="30"/>
      <c r="F68" s="30"/>
      <c r="G68" s="30" t="s">
        <v>29</v>
      </c>
    </row>
    <row r="69" spans="1:16" x14ac:dyDescent="0.2">
      <c r="A69" s="30" t="s">
        <v>30</v>
      </c>
      <c r="B69" s="30"/>
      <c r="C69" s="30"/>
      <c r="D69" s="30"/>
      <c r="E69" s="30"/>
      <c r="F69" s="30"/>
      <c r="G69" s="30" t="s">
        <v>31</v>
      </c>
    </row>
    <row r="70" spans="1:16" x14ac:dyDescent="0.2">
      <c r="A70" s="30" t="s">
        <v>32</v>
      </c>
      <c r="B70" s="30"/>
      <c r="C70" s="30"/>
      <c r="D70" s="30"/>
      <c r="E70" s="30"/>
      <c r="F70" s="30"/>
      <c r="G70" s="30" t="s">
        <v>33</v>
      </c>
    </row>
    <row r="71" spans="1:16" x14ac:dyDescent="0.2">
      <c r="A71" s="30" t="s">
        <v>34</v>
      </c>
      <c r="B71" s="30"/>
      <c r="C71" s="30"/>
      <c r="D71" s="30"/>
      <c r="E71" s="30"/>
      <c r="F71" s="30"/>
      <c r="G71" s="30" t="s">
        <v>35</v>
      </c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scale="35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2622-1E04-4961-AE13-51273F0767F5}">
  <sheetPr>
    <pageSetUpPr fitToPage="1"/>
  </sheetPr>
  <dimension ref="A1:P71"/>
  <sheetViews>
    <sheetView view="pageBreakPreview" zoomScaleSheetLayoutView="100" workbookViewId="0">
      <selection activeCell="J3" sqref="J3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9" width="12.28515625" style="1" customWidth="1"/>
    <col min="10" max="10" width="14.42578125" style="1" customWidth="1"/>
    <col min="11" max="11" width="13.28515625" style="1" customWidth="1"/>
    <col min="12" max="12" width="13.85546875" style="1" customWidth="1"/>
    <col min="13" max="13" width="9.42578125" style="1" bestFit="1" customWidth="1"/>
    <col min="14" max="14" width="11.28515625" style="1" bestFit="1" customWidth="1"/>
    <col min="15" max="15" width="16.42578125" style="1" bestFit="1" customWidth="1"/>
    <col min="16" max="16384" width="12.28515625" style="1"/>
  </cols>
  <sheetData>
    <row r="1" spans="1:16" x14ac:dyDescent="0.2">
      <c r="A1" s="32" t="s">
        <v>24</v>
      </c>
      <c r="B1" s="32"/>
      <c r="C1" s="32"/>
      <c r="D1" s="32"/>
      <c r="E1" s="32"/>
      <c r="F1" s="32"/>
      <c r="G1" s="32"/>
      <c r="J1" s="9"/>
      <c r="K1" s="9"/>
      <c r="L1" s="10"/>
    </row>
    <row r="2" spans="1:16" ht="15" x14ac:dyDescent="0.2">
      <c r="A2"/>
      <c r="B2" s="28" t="s">
        <v>5</v>
      </c>
      <c r="C2" s="28"/>
      <c r="D2" s="28"/>
      <c r="E2" s="28"/>
      <c r="F2" s="28"/>
      <c r="G2" s="28"/>
      <c r="H2" s="10"/>
      <c r="I2" s="10"/>
      <c r="J2" s="7">
        <v>0.66659999999999997</v>
      </c>
      <c r="K2" s="13"/>
      <c r="L2" s="10"/>
      <c r="M2" s="10"/>
      <c r="N2" s="10"/>
    </row>
    <row r="3" spans="1:16" ht="29.25" customHeight="1" x14ac:dyDescent="0.2">
      <c r="B3" s="10"/>
      <c r="C3" s="10"/>
      <c r="D3" s="10"/>
      <c r="F3" s="14"/>
      <c r="G3" s="10"/>
      <c r="I3" s="10"/>
      <c r="J3" s="15" t="s">
        <v>15</v>
      </c>
      <c r="K3" s="9"/>
      <c r="L3" s="10"/>
      <c r="M3" s="10"/>
      <c r="N3" s="10"/>
    </row>
    <row r="4" spans="1:16" ht="38.25" x14ac:dyDescent="0.2">
      <c r="A4" s="5" t="s">
        <v>19</v>
      </c>
      <c r="B4" s="6" t="s">
        <v>8</v>
      </c>
      <c r="C4" s="6" t="s">
        <v>6</v>
      </c>
      <c r="D4" s="5" t="s">
        <v>11</v>
      </c>
      <c r="E4" s="6" t="s">
        <v>7</v>
      </c>
      <c r="F4" s="11" t="s">
        <v>12</v>
      </c>
      <c r="G4" s="5" t="s">
        <v>0</v>
      </c>
      <c r="H4" s="6" t="s">
        <v>1</v>
      </c>
      <c r="I4" s="6" t="s">
        <v>13</v>
      </c>
      <c r="J4" s="6" t="s">
        <v>14</v>
      </c>
      <c r="K4" s="8"/>
      <c r="L4" s="4" t="s">
        <v>10</v>
      </c>
      <c r="M4" s="16" t="s">
        <v>6</v>
      </c>
      <c r="N4" s="4" t="s">
        <v>20</v>
      </c>
      <c r="O4" s="3"/>
    </row>
    <row r="5" spans="1:16" ht="9.75" customHeight="1" x14ac:dyDescent="0.2">
      <c r="B5" s="2"/>
      <c r="C5" s="2"/>
      <c r="D5" s="2"/>
      <c r="E5" s="2"/>
      <c r="F5" s="12"/>
      <c r="G5" s="2"/>
      <c r="H5" s="2"/>
      <c r="I5" s="2"/>
      <c r="J5" s="2"/>
      <c r="K5" s="2"/>
      <c r="P5" s="17"/>
    </row>
    <row r="6" spans="1:16" ht="15" x14ac:dyDescent="0.2">
      <c r="A6" s="18" t="s">
        <v>17</v>
      </c>
      <c r="B6" s="19">
        <f>ROUND(L6/12*$J$2,2)</f>
        <v>953.67</v>
      </c>
      <c r="C6" s="19">
        <f>ROUND(M6/12*$J$2,2)</f>
        <v>0</v>
      </c>
      <c r="D6" s="20">
        <f>ROUND((B6+C6)/12,2)</f>
        <v>79.47</v>
      </c>
      <c r="E6" s="19">
        <f>ROUND(N6/12*$J$2,2)</f>
        <v>67.16</v>
      </c>
      <c r="F6" s="20">
        <f>28*$J$2</f>
        <v>18.6648</v>
      </c>
      <c r="G6" s="19">
        <f>SUM(B6:F6)</f>
        <v>1118.9648</v>
      </c>
      <c r="H6" s="19">
        <f>ROUND(G6-(G6-F6)*2%,2)</f>
        <v>1096.96</v>
      </c>
      <c r="I6" s="29">
        <f>ROUND((G6-F6)*40.38%+F6*32.7%+(G6)*1.61%,2)</f>
        <v>468.42</v>
      </c>
      <c r="J6" s="22">
        <f t="shared" ref="J6:J7" si="0">H6+I6</f>
        <v>1565.38</v>
      </c>
      <c r="K6" s="23"/>
      <c r="L6" s="21">
        <v>17167.7</v>
      </c>
      <c r="M6" s="21"/>
      <c r="N6" s="21">
        <v>1209.06</v>
      </c>
      <c r="O6" s="24"/>
      <c r="P6" s="25"/>
    </row>
    <row r="7" spans="1:16" ht="15" x14ac:dyDescent="0.2">
      <c r="A7" s="18" t="s">
        <v>18</v>
      </c>
      <c r="B7" s="19">
        <f t="shared" ref="B7:C10" si="1">ROUND(L7/12*$J$2,2)</f>
        <v>1062.3499999999999</v>
      </c>
      <c r="C7" s="19">
        <f t="shared" si="1"/>
        <v>0</v>
      </c>
      <c r="D7" s="20">
        <f t="shared" ref="D7:D10" si="2">ROUND((B7+C7)/12,2)</f>
        <v>88.53</v>
      </c>
      <c r="E7" s="19">
        <f t="shared" ref="E7:E10" si="3">ROUND(N7/12*$J$2,2)</f>
        <v>67.16</v>
      </c>
      <c r="F7" s="20">
        <f>22*$J$2</f>
        <v>14.665199999999999</v>
      </c>
      <c r="G7" s="19">
        <f>SUM(B7:F7)</f>
        <v>1232.7051999999999</v>
      </c>
      <c r="H7" s="19">
        <f t="shared" ref="H7:H10" si="4">ROUND(G7-(G7-F7)*2%,2)</f>
        <v>1208.3399999999999</v>
      </c>
      <c r="I7" s="29">
        <f t="shared" ref="I7:I9" si="5">ROUND((G7-F7)*40.38%+F7*32.7%+(G7)*1.61%,2)</f>
        <v>516.49</v>
      </c>
      <c r="J7" s="22">
        <f t="shared" si="0"/>
        <v>1724.83</v>
      </c>
      <c r="K7" s="23"/>
      <c r="L7" s="21">
        <v>19124.23</v>
      </c>
      <c r="M7" s="21"/>
      <c r="N7" s="21">
        <v>1209.06</v>
      </c>
      <c r="O7" s="24"/>
      <c r="P7" s="25"/>
    </row>
    <row r="8" spans="1:16" ht="15" x14ac:dyDescent="0.2">
      <c r="A8" s="18" t="s">
        <v>2</v>
      </c>
      <c r="B8" s="19">
        <f t="shared" si="1"/>
        <v>1094.68</v>
      </c>
      <c r="C8" s="19">
        <f t="shared" si="1"/>
        <v>0</v>
      </c>
      <c r="D8" s="20">
        <f t="shared" si="2"/>
        <v>91.22</v>
      </c>
      <c r="E8" s="19">
        <f t="shared" si="3"/>
        <v>91.3</v>
      </c>
      <c r="F8" s="20">
        <f>20*$J$2</f>
        <v>13.331999999999999</v>
      </c>
      <c r="G8" s="19">
        <f t="shared" ref="G8:G10" si="6">SUM(B8:F8)</f>
        <v>1290.5320000000002</v>
      </c>
      <c r="H8" s="19">
        <f t="shared" si="4"/>
        <v>1264.99</v>
      </c>
      <c r="I8" s="29">
        <f t="shared" si="5"/>
        <v>540.87</v>
      </c>
      <c r="J8" s="22">
        <f>H8+I8</f>
        <v>1805.8600000000001</v>
      </c>
      <c r="K8" s="23"/>
      <c r="L8" s="21">
        <v>19706.2</v>
      </c>
      <c r="M8" s="21"/>
      <c r="N8" s="21">
        <v>1643.57</v>
      </c>
      <c r="O8" s="24"/>
      <c r="P8" s="25"/>
    </row>
    <row r="9" spans="1:16" ht="15" x14ac:dyDescent="0.2">
      <c r="A9" s="18" t="s">
        <v>3</v>
      </c>
      <c r="B9" s="19">
        <f t="shared" si="1"/>
        <v>1280.74</v>
      </c>
      <c r="C9" s="19">
        <f t="shared" si="1"/>
        <v>0</v>
      </c>
      <c r="D9" s="20">
        <f t="shared" si="2"/>
        <v>106.73</v>
      </c>
      <c r="E9" s="19">
        <f t="shared" si="3"/>
        <v>130.55000000000001</v>
      </c>
      <c r="F9" s="20">
        <f>9*$J$2</f>
        <v>5.9993999999999996</v>
      </c>
      <c r="G9" s="19">
        <f t="shared" si="6"/>
        <v>1524.0193999999999</v>
      </c>
      <c r="H9" s="19">
        <f t="shared" si="4"/>
        <v>1493.66</v>
      </c>
      <c r="I9" s="29">
        <f t="shared" si="5"/>
        <v>639.47</v>
      </c>
      <c r="J9" s="22">
        <f>H9+I9</f>
        <v>2133.13</v>
      </c>
      <c r="K9" s="23"/>
      <c r="L9" s="21">
        <v>23055.63</v>
      </c>
      <c r="M9" s="21"/>
      <c r="N9" s="21">
        <v>2350.06</v>
      </c>
      <c r="O9" s="24"/>
      <c r="P9" s="25"/>
    </row>
    <row r="10" spans="1:16" ht="15" x14ac:dyDescent="0.2">
      <c r="A10" s="18" t="s">
        <v>4</v>
      </c>
      <c r="B10" s="19">
        <f t="shared" si="1"/>
        <v>1445.68</v>
      </c>
      <c r="C10" s="19">
        <f t="shared" si="1"/>
        <v>0</v>
      </c>
      <c r="D10" s="20">
        <f t="shared" si="2"/>
        <v>120.47</v>
      </c>
      <c r="E10" s="19">
        <f t="shared" si="3"/>
        <v>156.47</v>
      </c>
      <c r="F10" s="20"/>
      <c r="G10" s="19">
        <f t="shared" si="6"/>
        <v>1722.6200000000001</v>
      </c>
      <c r="H10" s="19">
        <f t="shared" si="4"/>
        <v>1688.17</v>
      </c>
      <c r="I10" s="29">
        <f>ROUND((G10-F10)*40.38%+(G10-F10)*1.61%+((B10+C10)-(556.86*$J$2))*4.36%,2)</f>
        <v>770.18</v>
      </c>
      <c r="J10" s="22">
        <f>H10+I10</f>
        <v>2458.35</v>
      </c>
      <c r="K10" s="23"/>
      <c r="L10" s="21">
        <v>26024.85</v>
      </c>
      <c r="M10" s="21"/>
      <c r="N10" s="21">
        <v>2816.8</v>
      </c>
      <c r="O10" s="24"/>
      <c r="P10" s="25"/>
    </row>
    <row r="11" spans="1:16" x14ac:dyDescent="0.2">
      <c r="K11" s="23"/>
    </row>
    <row r="12" spans="1:16" ht="29.25" customHeight="1" x14ac:dyDescent="0.2">
      <c r="B12" s="10"/>
      <c r="C12" s="10"/>
      <c r="D12" s="10"/>
      <c r="G12" s="14"/>
      <c r="H12" s="10"/>
      <c r="J12" s="15" t="s">
        <v>16</v>
      </c>
      <c r="K12" s="23"/>
      <c r="L12" s="10"/>
      <c r="M12" s="10"/>
      <c r="N12" s="10"/>
    </row>
    <row r="13" spans="1:16" ht="38.25" x14ac:dyDescent="0.2">
      <c r="A13" s="5" t="s">
        <v>19</v>
      </c>
      <c r="B13" s="6" t="s">
        <v>8</v>
      </c>
      <c r="C13" s="6" t="s">
        <v>6</v>
      </c>
      <c r="D13" s="5" t="s">
        <v>11</v>
      </c>
      <c r="E13" s="6" t="s">
        <v>7</v>
      </c>
      <c r="F13" s="11" t="s">
        <v>12</v>
      </c>
      <c r="G13" s="5" t="s">
        <v>0</v>
      </c>
      <c r="H13" s="6" t="s">
        <v>1</v>
      </c>
      <c r="I13" s="6" t="s">
        <v>13</v>
      </c>
      <c r="J13" s="6" t="s">
        <v>14</v>
      </c>
      <c r="K13" s="23"/>
      <c r="L13" s="4" t="s">
        <v>10</v>
      </c>
      <c r="M13" s="16" t="s">
        <v>6</v>
      </c>
      <c r="N13" s="4" t="s">
        <v>20</v>
      </c>
      <c r="O13" s="3"/>
    </row>
    <row r="14" spans="1:16" ht="9.75" customHeight="1" x14ac:dyDescent="0.2">
      <c r="B14" s="2"/>
      <c r="C14" s="2"/>
      <c r="D14" s="2"/>
      <c r="E14" s="2"/>
      <c r="F14" s="12"/>
      <c r="G14" s="2"/>
      <c r="H14" s="2"/>
      <c r="I14" s="2"/>
      <c r="J14" s="2"/>
      <c r="K14" s="23"/>
      <c r="P14" s="17"/>
    </row>
    <row r="15" spans="1:16" ht="15" x14ac:dyDescent="0.2">
      <c r="A15" s="18" t="s">
        <v>17</v>
      </c>
      <c r="B15" s="19">
        <f>ROUND(L15/12*$J$2,2)</f>
        <v>962.8</v>
      </c>
      <c r="C15" s="19">
        <f>ROUND(M15/12*$J$2,2)</f>
        <v>0</v>
      </c>
      <c r="D15" s="20">
        <f>ROUND((B15+C15)/12,2)</f>
        <v>80.23</v>
      </c>
      <c r="E15" s="19">
        <f>ROUND(N15/12*$J$2,2)</f>
        <v>67.16</v>
      </c>
      <c r="F15" s="20">
        <f>28*$J$2</f>
        <v>18.6648</v>
      </c>
      <c r="G15" s="19">
        <f>SUM(B15:F15)</f>
        <v>1128.8548000000001</v>
      </c>
      <c r="H15" s="19">
        <f>ROUND(G15+F15-G15*2%,2)</f>
        <v>1124.94</v>
      </c>
      <c r="I15" s="29">
        <f>ROUND((G15-F15)*40.38%+F15*32.7%+(G15)*1.61%,2)</f>
        <v>472.57</v>
      </c>
      <c r="J15" s="22">
        <f t="shared" ref="J15:J16" si="7">H15+I15</f>
        <v>1597.51</v>
      </c>
      <c r="K15" s="23"/>
      <c r="L15" s="21">
        <v>17332.099999999999</v>
      </c>
      <c r="M15" s="21"/>
      <c r="N15" s="21">
        <v>1209.06</v>
      </c>
      <c r="O15" s="24"/>
      <c r="P15" s="25"/>
    </row>
    <row r="16" spans="1:16" ht="15" x14ac:dyDescent="0.2">
      <c r="A16" s="18" t="s">
        <v>18</v>
      </c>
      <c r="B16" s="19">
        <f t="shared" ref="B16:C19" si="8">ROUND(L16/12*$J$2,2)</f>
        <v>1071.48</v>
      </c>
      <c r="C16" s="19">
        <f t="shared" si="8"/>
        <v>0</v>
      </c>
      <c r="D16" s="20">
        <f t="shared" ref="D16:D19" si="9">ROUND((B16+C16)/12,2)</f>
        <v>89.29</v>
      </c>
      <c r="E16" s="19">
        <f t="shared" ref="E16:E19" si="10">ROUND(N16/12*$J$2,2)</f>
        <v>67.16</v>
      </c>
      <c r="F16" s="20">
        <f>22*$J$2</f>
        <v>14.665199999999999</v>
      </c>
      <c r="G16" s="19">
        <f>SUM(B16:F16)</f>
        <v>1242.5952</v>
      </c>
      <c r="H16" s="19">
        <f t="shared" ref="H16:H19" si="11">ROUND(G16+F16-G16*2%,2)</f>
        <v>1232.4100000000001</v>
      </c>
      <c r="I16" s="29">
        <f t="shared" ref="I16:I18" si="12">ROUND((G16-F16)*40.38%+F16*32.7%+(G16)*1.61%,2)</f>
        <v>520.64</v>
      </c>
      <c r="J16" s="22">
        <f t="shared" si="7"/>
        <v>1753.0500000000002</v>
      </c>
      <c r="K16" s="23"/>
      <c r="L16" s="21">
        <v>19288.63</v>
      </c>
      <c r="M16" s="21"/>
      <c r="N16" s="21">
        <v>1209.06</v>
      </c>
      <c r="O16" s="24"/>
      <c r="P16" s="25"/>
    </row>
    <row r="17" spans="1:16" ht="15" x14ac:dyDescent="0.2">
      <c r="A17" s="18" t="s">
        <v>2</v>
      </c>
      <c r="B17" s="19">
        <f t="shared" si="8"/>
        <v>1104.4100000000001</v>
      </c>
      <c r="C17" s="19">
        <f t="shared" si="8"/>
        <v>0</v>
      </c>
      <c r="D17" s="20">
        <f t="shared" si="9"/>
        <v>92.03</v>
      </c>
      <c r="E17" s="19">
        <f t="shared" si="10"/>
        <v>91.3</v>
      </c>
      <c r="F17" s="20">
        <f>20*$J$2</f>
        <v>13.331999999999999</v>
      </c>
      <c r="G17" s="19">
        <f>SUM(B17:E17)</f>
        <v>1287.74</v>
      </c>
      <c r="H17" s="19">
        <f t="shared" si="11"/>
        <v>1275.32</v>
      </c>
      <c r="I17" s="29">
        <f t="shared" si="12"/>
        <v>539.70000000000005</v>
      </c>
      <c r="J17" s="22">
        <f>H17+I17</f>
        <v>1815.02</v>
      </c>
      <c r="K17" s="23"/>
      <c r="L17" s="21">
        <v>19881.400000000001</v>
      </c>
      <c r="M17" s="21"/>
      <c r="N17" s="21">
        <v>1643.57</v>
      </c>
      <c r="O17" s="24"/>
      <c r="P17" s="25"/>
    </row>
    <row r="18" spans="1:16" ht="15" x14ac:dyDescent="0.2">
      <c r="A18" s="18" t="s">
        <v>3</v>
      </c>
      <c r="B18" s="19">
        <f t="shared" si="8"/>
        <v>1292.01</v>
      </c>
      <c r="C18" s="19">
        <f t="shared" si="8"/>
        <v>0</v>
      </c>
      <c r="D18" s="20">
        <f t="shared" si="9"/>
        <v>107.67</v>
      </c>
      <c r="E18" s="19">
        <f t="shared" si="10"/>
        <v>130.55000000000001</v>
      </c>
      <c r="F18" s="20">
        <f>9*$J$2</f>
        <v>5.9993999999999996</v>
      </c>
      <c r="G18" s="19">
        <f>SUM(B18:E18)</f>
        <v>1530.23</v>
      </c>
      <c r="H18" s="19">
        <f t="shared" si="11"/>
        <v>1505.62</v>
      </c>
      <c r="I18" s="29">
        <f t="shared" si="12"/>
        <v>642.08000000000004</v>
      </c>
      <c r="J18" s="22">
        <f>H18+I18</f>
        <v>2147.6999999999998</v>
      </c>
      <c r="K18" s="23"/>
      <c r="L18" s="21">
        <v>23258.43</v>
      </c>
      <c r="M18" s="21"/>
      <c r="N18" s="21">
        <v>2350.06</v>
      </c>
      <c r="O18" s="24"/>
      <c r="P18" s="25"/>
    </row>
    <row r="19" spans="1:16" ht="15" x14ac:dyDescent="0.2">
      <c r="A19" s="18" t="s">
        <v>4</v>
      </c>
      <c r="B19" s="19">
        <f t="shared" si="8"/>
        <v>1458.68</v>
      </c>
      <c r="C19" s="19">
        <f t="shared" si="8"/>
        <v>0</v>
      </c>
      <c r="D19" s="20">
        <f t="shared" si="9"/>
        <v>121.56</v>
      </c>
      <c r="E19" s="19">
        <f t="shared" si="10"/>
        <v>156.47</v>
      </c>
      <c r="F19" s="19"/>
      <c r="G19" s="19">
        <f>SUM(B19:E19)</f>
        <v>1736.71</v>
      </c>
      <c r="H19" s="19">
        <f t="shared" si="11"/>
        <v>1701.98</v>
      </c>
      <c r="I19" s="29">
        <f>ROUND((G19-F19)*40.38%+(G19-F19)*1.61%+((B19+C19)-(556.86*$J$2))*4.36%,2)</f>
        <v>776.66</v>
      </c>
      <c r="J19" s="22">
        <f>H19+I19</f>
        <v>2478.64</v>
      </c>
      <c r="K19" s="23"/>
      <c r="L19" s="21">
        <v>26258.85</v>
      </c>
      <c r="M19" s="21"/>
      <c r="N19" s="21">
        <v>2816.8</v>
      </c>
      <c r="O19" s="24"/>
      <c r="P19" s="25"/>
    </row>
    <row r="20" spans="1:16" x14ac:dyDescent="0.2">
      <c r="K20" s="23"/>
    </row>
    <row r="21" spans="1:16" ht="29.25" customHeight="1" x14ac:dyDescent="0.2">
      <c r="B21" s="10"/>
      <c r="C21" s="10"/>
      <c r="D21" s="10"/>
      <c r="G21" s="14"/>
      <c r="H21" s="10"/>
      <c r="J21" s="15" t="s">
        <v>21</v>
      </c>
      <c r="K21" s="23"/>
      <c r="L21" s="9"/>
      <c r="M21" s="10"/>
      <c r="N21" s="10"/>
      <c r="O21" s="10"/>
    </row>
    <row r="22" spans="1:16" ht="38.25" x14ac:dyDescent="0.2">
      <c r="A22" s="5" t="s">
        <v>19</v>
      </c>
      <c r="B22" s="6" t="s">
        <v>8</v>
      </c>
      <c r="C22" s="6" t="s">
        <v>6</v>
      </c>
      <c r="D22" s="5" t="s">
        <v>11</v>
      </c>
      <c r="E22" s="6" t="s">
        <v>7</v>
      </c>
      <c r="F22" s="6" t="s">
        <v>12</v>
      </c>
      <c r="G22" s="5" t="s">
        <v>0</v>
      </c>
      <c r="H22" s="6" t="s">
        <v>1</v>
      </c>
      <c r="I22" s="6" t="s">
        <v>13</v>
      </c>
      <c r="J22" s="6" t="s">
        <v>14</v>
      </c>
      <c r="K22" s="23"/>
      <c r="L22" s="4" t="s">
        <v>10</v>
      </c>
      <c r="M22" s="16" t="s">
        <v>6</v>
      </c>
      <c r="N22" s="4" t="s">
        <v>20</v>
      </c>
      <c r="O22" s="3"/>
    </row>
    <row r="23" spans="1:16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3"/>
      <c r="P23" s="17"/>
    </row>
    <row r="24" spans="1:16" ht="15" x14ac:dyDescent="0.2">
      <c r="A24" s="18" t="s">
        <v>17</v>
      </c>
      <c r="B24" s="19">
        <f>ROUND(L24/12*$J$2,2)</f>
        <v>987.53</v>
      </c>
      <c r="C24" s="19">
        <f>ROUND(M24/12*$J$2,2)</f>
        <v>0</v>
      </c>
      <c r="D24" s="20">
        <f>ROUND((B24+C24)/12,2)</f>
        <v>82.29</v>
      </c>
      <c r="E24" s="19">
        <f>ROUND(N24/12*$J$2,2)</f>
        <v>69.22</v>
      </c>
      <c r="F24" s="20">
        <f>28*$J$2</f>
        <v>18.6648</v>
      </c>
      <c r="G24" s="19">
        <f>SUM(B24:F24)</f>
        <v>1157.7048</v>
      </c>
      <c r="H24" s="19">
        <f>ROUND(G24+F24-G24*2%,2)</f>
        <v>1153.22</v>
      </c>
      <c r="I24" s="29">
        <f>ROUND((G24-F24)*40.38%+F24*32.7%+(G24)*1.61%,2)</f>
        <v>484.69</v>
      </c>
      <c r="J24" s="22">
        <f t="shared" ref="J24:J25" si="13">H24+I24</f>
        <v>1637.91</v>
      </c>
      <c r="K24" s="23"/>
      <c r="L24" s="21">
        <v>17777.3</v>
      </c>
      <c r="M24" s="21"/>
      <c r="N24" s="21">
        <v>1246.1600000000001</v>
      </c>
      <c r="O24" s="24"/>
      <c r="P24" s="25"/>
    </row>
    <row r="25" spans="1:16" ht="15" x14ac:dyDescent="0.2">
      <c r="A25" s="18" t="s">
        <v>18</v>
      </c>
      <c r="B25" s="19">
        <f t="shared" ref="B25:C28" si="14">ROUND(L25/12*$J$2,2)</f>
        <v>1096.21</v>
      </c>
      <c r="C25" s="19">
        <f t="shared" si="14"/>
        <v>0</v>
      </c>
      <c r="D25" s="20">
        <f t="shared" ref="D25:D28" si="15">ROUND((B25+C25)/12,2)</f>
        <v>91.35</v>
      </c>
      <c r="E25" s="19">
        <f t="shared" ref="E25:E28" si="16">ROUND(N25/12*$J$2,2)</f>
        <v>69.22</v>
      </c>
      <c r="F25" s="20">
        <f>22*$J$2</f>
        <v>14.665199999999999</v>
      </c>
      <c r="G25" s="19">
        <f>SUM(B25:F25)</f>
        <v>1271.4451999999999</v>
      </c>
      <c r="H25" s="19">
        <f t="shared" ref="H25:H28" si="17">ROUND(G25+F25-G25*2%,2)</f>
        <v>1260.68</v>
      </c>
      <c r="I25" s="29">
        <f t="shared" ref="I25:I27" si="18">ROUND((G25-F25)*40.38%+F25*32.7%+(G25)*1.61%,2)</f>
        <v>532.75</v>
      </c>
      <c r="J25" s="22">
        <f t="shared" si="13"/>
        <v>1793.43</v>
      </c>
      <c r="K25" s="23"/>
      <c r="L25" s="21">
        <v>19733.830000000002</v>
      </c>
      <c r="M25" s="21"/>
      <c r="N25" s="21">
        <v>1246.1600000000001</v>
      </c>
      <c r="O25" s="24"/>
      <c r="P25" s="25"/>
    </row>
    <row r="26" spans="1:16" ht="15" x14ac:dyDescent="0.2">
      <c r="A26" s="18" t="s">
        <v>2</v>
      </c>
      <c r="B26" s="19">
        <f t="shared" si="14"/>
        <v>1130.68</v>
      </c>
      <c r="C26" s="19">
        <f t="shared" si="14"/>
        <v>0</v>
      </c>
      <c r="D26" s="20">
        <f t="shared" si="15"/>
        <v>94.22</v>
      </c>
      <c r="E26" s="19">
        <f t="shared" si="16"/>
        <v>94.1</v>
      </c>
      <c r="F26" s="20">
        <f>20*$J$2</f>
        <v>13.331999999999999</v>
      </c>
      <c r="G26" s="19">
        <f>SUM(B26:F26)</f>
        <v>1332.3320000000001</v>
      </c>
      <c r="H26" s="19">
        <f t="shared" si="17"/>
        <v>1319.02</v>
      </c>
      <c r="I26" s="29">
        <f t="shared" si="18"/>
        <v>558.41999999999996</v>
      </c>
      <c r="J26" s="22">
        <f>H26+I26</f>
        <v>1877.44</v>
      </c>
      <c r="K26" s="23"/>
      <c r="L26" s="21">
        <v>20354.2</v>
      </c>
      <c r="M26" s="21"/>
      <c r="N26" s="21">
        <v>1693.97</v>
      </c>
      <c r="O26" s="24"/>
      <c r="P26" s="25"/>
    </row>
    <row r="27" spans="1:16" ht="15" x14ac:dyDescent="0.2">
      <c r="A27" s="18" t="s">
        <v>3</v>
      </c>
      <c r="B27" s="19">
        <f t="shared" si="14"/>
        <v>1322.47</v>
      </c>
      <c r="C27" s="19">
        <f t="shared" si="14"/>
        <v>0</v>
      </c>
      <c r="D27" s="20">
        <f t="shared" si="15"/>
        <v>110.21</v>
      </c>
      <c r="E27" s="19">
        <f t="shared" si="16"/>
        <v>134.55000000000001</v>
      </c>
      <c r="F27" s="20">
        <f>9*$J$2</f>
        <v>5.9993999999999996</v>
      </c>
      <c r="G27" s="19">
        <f>SUM(B27:F27)</f>
        <v>1573.2293999999999</v>
      </c>
      <c r="H27" s="19">
        <f t="shared" si="17"/>
        <v>1547.76</v>
      </c>
      <c r="I27" s="29">
        <f t="shared" si="18"/>
        <v>660.14</v>
      </c>
      <c r="J27" s="22">
        <f>H27+I27</f>
        <v>2207.9</v>
      </c>
      <c r="K27" s="23"/>
      <c r="L27" s="21">
        <v>23806.83</v>
      </c>
      <c r="M27" s="21"/>
      <c r="N27" s="21">
        <v>2422.16</v>
      </c>
      <c r="O27" s="24"/>
      <c r="P27" s="25"/>
    </row>
    <row r="28" spans="1:16" ht="15" x14ac:dyDescent="0.2">
      <c r="A28" s="18" t="s">
        <v>4</v>
      </c>
      <c r="B28" s="19">
        <f t="shared" si="14"/>
        <v>1493.74</v>
      </c>
      <c r="C28" s="19">
        <f t="shared" si="14"/>
        <v>0</v>
      </c>
      <c r="D28" s="20">
        <f t="shared" si="15"/>
        <v>124.48</v>
      </c>
      <c r="E28" s="19">
        <f t="shared" si="16"/>
        <v>161.62</v>
      </c>
      <c r="F28" s="19"/>
      <c r="G28" s="19">
        <f>SUM(B28:F28)</f>
        <v>1779.8400000000001</v>
      </c>
      <c r="H28" s="19">
        <f t="shared" si="17"/>
        <v>1744.24</v>
      </c>
      <c r="I28" s="29">
        <f>ROUND((G28-F28)*40.38%+(G28-F28)*1.61%+((B28+C28)-(556.86*$J$2))*4.36%,2)</f>
        <v>796.3</v>
      </c>
      <c r="J28" s="22">
        <f>H28+I28</f>
        <v>2540.54</v>
      </c>
      <c r="K28" s="23"/>
      <c r="L28" s="21">
        <v>26890.05</v>
      </c>
      <c r="M28" s="21"/>
      <c r="N28" s="21">
        <v>2909.4</v>
      </c>
      <c r="O28" s="24"/>
      <c r="P28" s="25"/>
    </row>
    <row r="29" spans="1:16" x14ac:dyDescent="0.2">
      <c r="K29" s="23"/>
    </row>
    <row r="30" spans="1:16" ht="29.25" customHeight="1" x14ac:dyDescent="0.2">
      <c r="B30" s="10"/>
      <c r="C30" s="10"/>
      <c r="D30" s="10"/>
      <c r="G30" s="14"/>
      <c r="H30" s="10"/>
      <c r="J30" s="15" t="s">
        <v>22</v>
      </c>
      <c r="K30" s="23"/>
      <c r="L30" s="9"/>
      <c r="M30" s="10"/>
      <c r="N30" s="10"/>
      <c r="O30" s="10"/>
    </row>
    <row r="31" spans="1:16" ht="38.25" x14ac:dyDescent="0.2">
      <c r="A31" s="5" t="s">
        <v>19</v>
      </c>
      <c r="B31" s="6" t="s">
        <v>8</v>
      </c>
      <c r="C31" s="6" t="s">
        <v>6</v>
      </c>
      <c r="D31" s="5" t="s">
        <v>11</v>
      </c>
      <c r="E31" s="6" t="s">
        <v>7</v>
      </c>
      <c r="F31" s="6" t="s">
        <v>12</v>
      </c>
      <c r="G31" s="5" t="s">
        <v>0</v>
      </c>
      <c r="H31" s="6" t="s">
        <v>1</v>
      </c>
      <c r="I31" s="6" t="s">
        <v>13</v>
      </c>
      <c r="J31" s="6" t="s">
        <v>14</v>
      </c>
      <c r="K31" s="23"/>
      <c r="L31" s="4" t="s">
        <v>10</v>
      </c>
      <c r="M31" s="16" t="s">
        <v>6</v>
      </c>
      <c r="N31" s="4" t="s">
        <v>20</v>
      </c>
      <c r="O31" s="3"/>
    </row>
    <row r="32" spans="1:16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3"/>
      <c r="P32" s="17"/>
    </row>
    <row r="33" spans="1:16" ht="15" x14ac:dyDescent="0.2">
      <c r="A33" s="18" t="s">
        <v>17</v>
      </c>
      <c r="B33" s="19">
        <f>ROUND(L33/12*$J$2,2)</f>
        <v>987.53</v>
      </c>
      <c r="C33" s="19">
        <f>ROUND(M33/12*$J$2,2)</f>
        <v>2.96</v>
      </c>
      <c r="D33" s="20">
        <f>ROUND((B33+C33)/12,2)</f>
        <v>82.54</v>
      </c>
      <c r="E33" s="19">
        <f>ROUND(N33/12*$J$2,2)</f>
        <v>69.22</v>
      </c>
      <c r="F33" s="20">
        <f>28*$J$2</f>
        <v>18.6648</v>
      </c>
      <c r="G33" s="19">
        <f>SUM(B33:F33)</f>
        <v>1160.9148</v>
      </c>
      <c r="H33" s="19">
        <f>ROUND(G33+F33-G33*2%,2)</f>
        <v>1156.3599999999999</v>
      </c>
      <c r="I33" s="29">
        <f>ROUND((G33-F33)*40.38%+F33*32.7%+(G33)*1.61%,2)</f>
        <v>486.03</v>
      </c>
      <c r="J33" s="22">
        <f t="shared" ref="J33:J34" si="19">H33+I33</f>
        <v>1642.3899999999999</v>
      </c>
      <c r="K33" s="23"/>
      <c r="L33" s="21">
        <v>17777.3</v>
      </c>
      <c r="M33" s="21">
        <v>53.28</v>
      </c>
      <c r="N33" s="21">
        <v>1246.1600000000001</v>
      </c>
      <c r="O33" s="24"/>
      <c r="P33" s="25"/>
    </row>
    <row r="34" spans="1:16" ht="15" x14ac:dyDescent="0.2">
      <c r="A34" s="18" t="s">
        <v>18</v>
      </c>
      <c r="B34" s="19">
        <f t="shared" ref="B34:C37" si="20">ROUND(L34/12*$J$2,2)</f>
        <v>1096.21</v>
      </c>
      <c r="C34" s="19">
        <f t="shared" si="20"/>
        <v>3.29</v>
      </c>
      <c r="D34" s="20">
        <f t="shared" ref="D34:D37" si="21">ROUND((B34+C34)/12,2)</f>
        <v>91.63</v>
      </c>
      <c r="E34" s="19">
        <f t="shared" ref="E34:E37" si="22">ROUND(N34/12*$J$2,2)</f>
        <v>69.22</v>
      </c>
      <c r="F34" s="20">
        <f>22*$J$2</f>
        <v>14.665199999999999</v>
      </c>
      <c r="G34" s="19">
        <f>SUM(B34:F34)</f>
        <v>1275.0152</v>
      </c>
      <c r="H34" s="19">
        <f t="shared" ref="H34:H37" si="23">ROUND(G34+F34-G34*2%,2)</f>
        <v>1264.18</v>
      </c>
      <c r="I34" s="29">
        <f t="shared" ref="I34:I36" si="24">ROUND((G34-F34)*40.38%+F34*32.7%+(G34)*1.61%,2)</f>
        <v>534.25</v>
      </c>
      <c r="J34" s="22">
        <f t="shared" si="19"/>
        <v>1798.43</v>
      </c>
      <c r="K34" s="23"/>
      <c r="L34" s="21">
        <v>19733.830000000002</v>
      </c>
      <c r="M34" s="21">
        <v>59.16</v>
      </c>
      <c r="N34" s="21">
        <v>1246.1600000000001</v>
      </c>
      <c r="O34" s="24"/>
      <c r="P34" s="25"/>
    </row>
    <row r="35" spans="1:16" ht="15" x14ac:dyDescent="0.2">
      <c r="A35" s="18" t="s">
        <v>2</v>
      </c>
      <c r="B35" s="19">
        <f t="shared" si="20"/>
        <v>1130.68</v>
      </c>
      <c r="C35" s="19">
        <f t="shared" si="20"/>
        <v>3.39</v>
      </c>
      <c r="D35" s="20">
        <f t="shared" si="21"/>
        <v>94.51</v>
      </c>
      <c r="E35" s="19">
        <f t="shared" si="22"/>
        <v>94.1</v>
      </c>
      <c r="F35" s="20">
        <f>20*$J$2</f>
        <v>13.331999999999999</v>
      </c>
      <c r="G35" s="19">
        <f>SUM(B35:F35)</f>
        <v>1336.0120000000002</v>
      </c>
      <c r="H35" s="19">
        <f t="shared" si="23"/>
        <v>1322.62</v>
      </c>
      <c r="I35" s="29">
        <f t="shared" si="24"/>
        <v>559.97</v>
      </c>
      <c r="J35" s="22">
        <f>H35+I35</f>
        <v>1882.59</v>
      </c>
      <c r="K35" s="23"/>
      <c r="L35" s="21">
        <v>20354.2</v>
      </c>
      <c r="M35" s="21">
        <v>61.08</v>
      </c>
      <c r="N35" s="21">
        <v>1693.97</v>
      </c>
      <c r="O35" s="24"/>
      <c r="P35" s="25"/>
    </row>
    <row r="36" spans="1:16" ht="15" x14ac:dyDescent="0.2">
      <c r="A36" s="18" t="s">
        <v>3</v>
      </c>
      <c r="B36" s="19">
        <f t="shared" si="20"/>
        <v>1322.47</v>
      </c>
      <c r="C36" s="19">
        <f t="shared" si="20"/>
        <v>3.97</v>
      </c>
      <c r="D36" s="20">
        <f t="shared" si="21"/>
        <v>110.54</v>
      </c>
      <c r="E36" s="19">
        <f t="shared" si="22"/>
        <v>134.55000000000001</v>
      </c>
      <c r="F36" s="20">
        <f>9*$J$2</f>
        <v>5.9993999999999996</v>
      </c>
      <c r="G36" s="19">
        <f>SUM(B36:F36)</f>
        <v>1577.5293999999999</v>
      </c>
      <c r="H36" s="19">
        <f t="shared" si="23"/>
        <v>1551.98</v>
      </c>
      <c r="I36" s="29">
        <f t="shared" si="24"/>
        <v>661.94</v>
      </c>
      <c r="J36" s="22">
        <f>H36+I36</f>
        <v>2213.92</v>
      </c>
      <c r="K36" s="23"/>
      <c r="L36" s="21">
        <v>23806.83</v>
      </c>
      <c r="M36" s="21">
        <v>71.400000000000006</v>
      </c>
      <c r="N36" s="21">
        <v>2422.16</v>
      </c>
      <c r="O36" s="24"/>
      <c r="P36" s="25"/>
    </row>
    <row r="37" spans="1:16" ht="15" x14ac:dyDescent="0.2">
      <c r="A37" s="18" t="s">
        <v>4</v>
      </c>
      <c r="B37" s="19">
        <f t="shared" si="20"/>
        <v>1493.74</v>
      </c>
      <c r="C37" s="19">
        <f t="shared" si="20"/>
        <v>4.4800000000000004</v>
      </c>
      <c r="D37" s="20">
        <f t="shared" si="21"/>
        <v>124.85</v>
      </c>
      <c r="E37" s="19">
        <f t="shared" si="22"/>
        <v>161.62</v>
      </c>
      <c r="F37" s="19"/>
      <c r="G37" s="19">
        <f>SUM(B37:F37)</f>
        <v>1784.69</v>
      </c>
      <c r="H37" s="19">
        <f t="shared" si="23"/>
        <v>1749</v>
      </c>
      <c r="I37" s="29">
        <f>ROUND((G37-F37)*40.38%+(G37-F37)*1.61%+((B37+C37)-(556.86*$J$2))*4.36%,2)</f>
        <v>798.53</v>
      </c>
      <c r="J37" s="22">
        <f>H37+I37</f>
        <v>2547.5299999999997</v>
      </c>
      <c r="K37" s="23"/>
      <c r="L37" s="21">
        <v>26890.05</v>
      </c>
      <c r="M37" s="21">
        <v>80.64</v>
      </c>
      <c r="N37" s="21">
        <v>2909.4</v>
      </c>
      <c r="O37" s="24"/>
      <c r="P37" s="25"/>
    </row>
    <row r="38" spans="1:16" x14ac:dyDescent="0.2">
      <c r="K38" s="23"/>
    </row>
    <row r="39" spans="1:16" ht="29.25" customHeight="1" x14ac:dyDescent="0.2">
      <c r="B39" s="10"/>
      <c r="C39" s="10"/>
      <c r="D39" s="10"/>
      <c r="G39" s="14"/>
      <c r="H39" s="10"/>
      <c r="J39" s="15" t="s">
        <v>36</v>
      </c>
      <c r="K39" s="23"/>
      <c r="L39" s="9"/>
      <c r="M39" s="10"/>
      <c r="N39" s="10"/>
      <c r="O39" s="10"/>
    </row>
    <row r="40" spans="1:16" ht="38.25" x14ac:dyDescent="0.2">
      <c r="A40" s="5" t="s">
        <v>19</v>
      </c>
      <c r="B40" s="6" t="s">
        <v>8</v>
      </c>
      <c r="C40" s="6" t="s">
        <v>6</v>
      </c>
      <c r="D40" s="5" t="s">
        <v>11</v>
      </c>
      <c r="E40" s="6" t="s">
        <v>7</v>
      </c>
      <c r="F40" s="6" t="s">
        <v>12</v>
      </c>
      <c r="G40" s="5" t="s">
        <v>0</v>
      </c>
      <c r="H40" s="6" t="s">
        <v>1</v>
      </c>
      <c r="I40" s="6" t="s">
        <v>13</v>
      </c>
      <c r="J40" s="6" t="s">
        <v>14</v>
      </c>
      <c r="K40" s="23"/>
      <c r="L40" s="4" t="s">
        <v>10</v>
      </c>
      <c r="M40" s="16" t="s">
        <v>6</v>
      </c>
      <c r="N40" s="4" t="s">
        <v>20</v>
      </c>
      <c r="O40" s="3"/>
    </row>
    <row r="41" spans="1:16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3"/>
      <c r="P41" s="17"/>
    </row>
    <row r="42" spans="1:16" ht="15" x14ac:dyDescent="0.2">
      <c r="A42" s="18" t="s">
        <v>17</v>
      </c>
      <c r="B42" s="19">
        <f>ROUND(L42/12*$J$2,2)</f>
        <v>987.53</v>
      </c>
      <c r="C42" s="19">
        <f>ROUND(M42/12*$J$2,2)</f>
        <v>4.9400000000000004</v>
      </c>
      <c r="D42" s="20">
        <f>ROUND((B42+C42)/12,2)</f>
        <v>82.71</v>
      </c>
      <c r="E42" s="19">
        <f>ROUND(N42/12*$J$2,2)</f>
        <v>69.22</v>
      </c>
      <c r="F42" s="20">
        <f>28*$J$2</f>
        <v>18.6648</v>
      </c>
      <c r="G42" s="19">
        <f>SUM(B42:F42)</f>
        <v>1163.0648000000001</v>
      </c>
      <c r="H42" s="19">
        <f>ROUND(G42+F42-G42*2%,2)</f>
        <v>1158.47</v>
      </c>
      <c r="I42" s="29">
        <f>ROUND((G42-F42)*40.38%+F42*32.7%+(G42)*1.61%,2)</f>
        <v>486.94</v>
      </c>
      <c r="J42" s="22">
        <f>H42+I42</f>
        <v>1645.41</v>
      </c>
      <c r="K42" s="23"/>
      <c r="L42" s="21">
        <v>17777.3</v>
      </c>
      <c r="M42" s="21">
        <v>88.92</v>
      </c>
      <c r="N42" s="21">
        <v>1246.1600000000001</v>
      </c>
      <c r="O42" s="24"/>
      <c r="P42" s="25"/>
    </row>
    <row r="43" spans="1:16" ht="15" x14ac:dyDescent="0.2">
      <c r="A43" s="18" t="s">
        <v>18</v>
      </c>
      <c r="B43" s="19">
        <f t="shared" ref="B43:C46" si="25">ROUND(L43/12*$J$2,2)</f>
        <v>1096.21</v>
      </c>
      <c r="C43" s="19">
        <f t="shared" si="25"/>
        <v>5.48</v>
      </c>
      <c r="D43" s="20">
        <f t="shared" ref="D43:D46" si="26">ROUND((B43+C43)/12,2)</f>
        <v>91.81</v>
      </c>
      <c r="E43" s="19">
        <f t="shared" ref="E43:E46" si="27">ROUND(N43/12*$J$2,2)</f>
        <v>69.22</v>
      </c>
      <c r="F43" s="20">
        <f>22*$J$2</f>
        <v>14.665199999999999</v>
      </c>
      <c r="G43" s="19">
        <f>SUM(B43:F43)</f>
        <v>1277.3851999999999</v>
      </c>
      <c r="H43" s="19">
        <f t="shared" ref="H43:H46" si="28">ROUND(G43+F43-G43*2%,2)</f>
        <v>1266.5</v>
      </c>
      <c r="I43" s="29">
        <f t="shared" ref="I43:I45" si="29">ROUND((G43-F43)*40.38%+F43*32.7%+(G43)*1.61%,2)</f>
        <v>535.25</v>
      </c>
      <c r="J43" s="22">
        <f t="shared" ref="J43" si="30">H43+I43</f>
        <v>1801.75</v>
      </c>
      <c r="K43" s="23"/>
      <c r="L43" s="21">
        <v>19733.830000000002</v>
      </c>
      <c r="M43" s="21">
        <v>98.64</v>
      </c>
      <c r="N43" s="21">
        <v>1246.1600000000001</v>
      </c>
      <c r="O43" s="24"/>
      <c r="P43" s="25"/>
    </row>
    <row r="44" spans="1:16" ht="15" x14ac:dyDescent="0.2">
      <c r="A44" s="18" t="s">
        <v>2</v>
      </c>
      <c r="B44" s="19">
        <f t="shared" si="25"/>
        <v>1130.68</v>
      </c>
      <c r="C44" s="19">
        <f t="shared" si="25"/>
        <v>5.65</v>
      </c>
      <c r="D44" s="20">
        <f t="shared" si="26"/>
        <v>94.69</v>
      </c>
      <c r="E44" s="19">
        <f t="shared" si="27"/>
        <v>94.1</v>
      </c>
      <c r="F44" s="20">
        <f>20*$J$2</f>
        <v>13.331999999999999</v>
      </c>
      <c r="G44" s="19">
        <f>SUM(B44:F44)</f>
        <v>1338.4520000000002</v>
      </c>
      <c r="H44" s="19">
        <f t="shared" si="28"/>
        <v>1325.01</v>
      </c>
      <c r="I44" s="29">
        <f t="shared" si="29"/>
        <v>560.99</v>
      </c>
      <c r="J44" s="22">
        <f>H44+I44</f>
        <v>1886</v>
      </c>
      <c r="K44" s="23"/>
      <c r="L44" s="21">
        <v>20354.2</v>
      </c>
      <c r="M44" s="21">
        <v>101.76</v>
      </c>
      <c r="N44" s="21">
        <v>1693.97</v>
      </c>
      <c r="O44" s="24"/>
      <c r="P44" s="25"/>
    </row>
    <row r="45" spans="1:16" ht="15" x14ac:dyDescent="0.2">
      <c r="A45" s="18" t="s">
        <v>3</v>
      </c>
      <c r="B45" s="19">
        <f t="shared" si="25"/>
        <v>1322.47</v>
      </c>
      <c r="C45" s="19">
        <f t="shared" si="25"/>
        <v>6.61</v>
      </c>
      <c r="D45" s="20">
        <f t="shared" si="26"/>
        <v>110.76</v>
      </c>
      <c r="E45" s="19">
        <f t="shared" si="27"/>
        <v>134.55000000000001</v>
      </c>
      <c r="F45" s="20">
        <f>9*$J$2</f>
        <v>5.9993999999999996</v>
      </c>
      <c r="G45" s="19">
        <f>SUM(B45:F45)</f>
        <v>1580.3893999999998</v>
      </c>
      <c r="H45" s="19">
        <f t="shared" si="28"/>
        <v>1554.78</v>
      </c>
      <c r="I45" s="29">
        <f t="shared" si="29"/>
        <v>663.14</v>
      </c>
      <c r="J45" s="22">
        <f>H45+I45</f>
        <v>2217.92</v>
      </c>
      <c r="K45" s="23"/>
      <c r="L45" s="21">
        <v>23806.83</v>
      </c>
      <c r="M45" s="21">
        <v>119.04</v>
      </c>
      <c r="N45" s="21">
        <v>2422.16</v>
      </c>
      <c r="O45" s="24"/>
      <c r="P45" s="25"/>
    </row>
    <row r="46" spans="1:16" ht="15" x14ac:dyDescent="0.2">
      <c r="A46" s="18" t="s">
        <v>4</v>
      </c>
      <c r="B46" s="19">
        <f t="shared" si="25"/>
        <v>1493.74</v>
      </c>
      <c r="C46" s="19">
        <f t="shared" si="25"/>
        <v>7.47</v>
      </c>
      <c r="D46" s="20">
        <f t="shared" si="26"/>
        <v>125.1</v>
      </c>
      <c r="E46" s="19">
        <f t="shared" si="27"/>
        <v>161.62</v>
      </c>
      <c r="F46" s="19"/>
      <c r="G46" s="19">
        <f>SUM(B46:F46)</f>
        <v>1787.9299999999998</v>
      </c>
      <c r="H46" s="19">
        <f t="shared" si="28"/>
        <v>1752.17</v>
      </c>
      <c r="I46" s="29">
        <f>ROUND((G46-F46)*40.38%+(G46-F46)*1.61%+((B46+C46)-(556.86*$J$2))*4.36%,2)</f>
        <v>800.02</v>
      </c>
      <c r="J46" s="22">
        <f>H46+I46</f>
        <v>2552.19</v>
      </c>
      <c r="K46" s="23"/>
      <c r="L46" s="21">
        <v>26890.05</v>
      </c>
      <c r="M46" s="21">
        <v>134.4</v>
      </c>
      <c r="N46" s="21">
        <v>2909.4</v>
      </c>
      <c r="O46" s="24"/>
      <c r="P46" s="25"/>
    </row>
    <row r="47" spans="1:16" x14ac:dyDescent="0.2">
      <c r="K47" s="23"/>
    </row>
    <row r="48" spans="1:16" ht="29.25" customHeight="1" x14ac:dyDescent="0.2">
      <c r="B48" s="10"/>
      <c r="C48" s="10"/>
      <c r="D48" s="10"/>
      <c r="G48" s="14"/>
      <c r="H48" s="10"/>
      <c r="J48" s="15" t="s">
        <v>38</v>
      </c>
      <c r="K48" s="23"/>
      <c r="L48" s="9"/>
      <c r="M48" s="10"/>
      <c r="N48" s="10"/>
      <c r="O48" s="10"/>
    </row>
    <row r="49" spans="1:16" ht="89.25" x14ac:dyDescent="0.2">
      <c r="A49" s="5" t="s">
        <v>19</v>
      </c>
      <c r="B49" s="6" t="s">
        <v>8</v>
      </c>
      <c r="C49" s="6" t="s">
        <v>6</v>
      </c>
      <c r="D49" s="5" t="s">
        <v>11</v>
      </c>
      <c r="E49" s="6" t="s">
        <v>7</v>
      </c>
      <c r="F49" s="6" t="s">
        <v>37</v>
      </c>
      <c r="G49" s="5" t="s">
        <v>0</v>
      </c>
      <c r="H49" s="6" t="s">
        <v>1</v>
      </c>
      <c r="I49" s="6" t="s">
        <v>13</v>
      </c>
      <c r="J49" s="6" t="s">
        <v>14</v>
      </c>
      <c r="K49" s="23"/>
      <c r="L49" s="4" t="s">
        <v>10</v>
      </c>
      <c r="M49" s="16" t="s">
        <v>6</v>
      </c>
      <c r="N49" s="4" t="s">
        <v>20</v>
      </c>
      <c r="O49" s="3"/>
    </row>
    <row r="50" spans="1:16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3"/>
      <c r="P50" s="17"/>
    </row>
    <row r="51" spans="1:16" ht="15" x14ac:dyDescent="0.2">
      <c r="A51" s="18" t="s">
        <v>17</v>
      </c>
      <c r="B51" s="19">
        <f>ROUND(L51/12*$J$2,2)</f>
        <v>987.53</v>
      </c>
      <c r="C51" s="19">
        <f>ROUND(M51/12*$J$2,2)</f>
        <v>4.9400000000000004</v>
      </c>
      <c r="D51" s="20">
        <f>ROUND((B51+C51)/12,2)</f>
        <v>82.71</v>
      </c>
      <c r="E51" s="19">
        <f>ROUND(N51/12*$J$2,2)</f>
        <v>69.22</v>
      </c>
      <c r="F51" s="20">
        <f>(28+22.22)*$J$2</f>
        <v>33.476651999999994</v>
      </c>
      <c r="G51" s="19">
        <f>SUM(B51:F51)</f>
        <v>1177.8766520000001</v>
      </c>
      <c r="H51" s="19">
        <f>ROUND(G51+F51-G51*2%,2)</f>
        <v>1187.8</v>
      </c>
      <c r="I51" s="29">
        <f>ROUND((G51-F51)*40.38%+F51*32.7%+(G51)*1.61%,2)</f>
        <v>492.02</v>
      </c>
      <c r="J51" s="22">
        <f>H51+I51</f>
        <v>1679.82</v>
      </c>
      <c r="K51" s="23"/>
      <c r="L51" s="21">
        <v>17777.3</v>
      </c>
      <c r="M51" s="21">
        <v>88.92</v>
      </c>
      <c r="N51" s="21">
        <v>1246.1600000000001</v>
      </c>
      <c r="O51" s="24"/>
      <c r="P51" s="25"/>
    </row>
    <row r="52" spans="1:16" ht="15" x14ac:dyDescent="0.2">
      <c r="A52" s="18" t="s">
        <v>18</v>
      </c>
      <c r="B52" s="19">
        <f t="shared" ref="B52:C55" si="31">ROUND(L52/12*$J$2,2)</f>
        <v>1096.21</v>
      </c>
      <c r="C52" s="19">
        <f t="shared" si="31"/>
        <v>5.48</v>
      </c>
      <c r="D52" s="20">
        <f t="shared" ref="D52:D55" si="32">ROUND((B52+C52)/12,2)</f>
        <v>91.81</v>
      </c>
      <c r="E52" s="19">
        <f t="shared" ref="E52:E55" si="33">ROUND(N52/12*$J$2,2)</f>
        <v>69.22</v>
      </c>
      <c r="F52" s="20">
        <f>(22+24.67)*$J$2</f>
        <v>31.110222</v>
      </c>
      <c r="G52" s="19">
        <f>SUM(B52:F52)</f>
        <v>1293.830222</v>
      </c>
      <c r="H52" s="19">
        <f t="shared" ref="H52:H55" si="34">ROUND(G52+F52-G52*2%,2)</f>
        <v>1299.06</v>
      </c>
      <c r="I52" s="29">
        <f t="shared" ref="I52:I54" si="35">ROUND((G52-F52)*40.38%+F52*32.7%+(G52)*1.61%,2)</f>
        <v>540.89</v>
      </c>
      <c r="J52" s="22">
        <f t="shared" ref="J52" si="36">H52+I52</f>
        <v>1839.9499999999998</v>
      </c>
      <c r="K52" s="23"/>
      <c r="L52" s="21">
        <v>19733.830000000002</v>
      </c>
      <c r="M52" s="21">
        <v>98.64</v>
      </c>
      <c r="N52" s="21">
        <v>1246.1600000000001</v>
      </c>
      <c r="O52" s="24"/>
      <c r="P52" s="25"/>
    </row>
    <row r="53" spans="1:16" ht="15" x14ac:dyDescent="0.2">
      <c r="A53" s="18" t="s">
        <v>2</v>
      </c>
      <c r="B53" s="19">
        <f t="shared" si="31"/>
        <v>1130.68</v>
      </c>
      <c r="C53" s="19">
        <f t="shared" si="31"/>
        <v>5.65</v>
      </c>
      <c r="D53" s="20">
        <f t="shared" si="32"/>
        <v>94.69</v>
      </c>
      <c r="E53" s="19">
        <f t="shared" si="33"/>
        <v>94.1</v>
      </c>
      <c r="F53" s="20">
        <f>(20+25.44)*$J$2</f>
        <v>30.290303999999995</v>
      </c>
      <c r="G53" s="19">
        <f>SUM(B53:F53)</f>
        <v>1355.4103040000002</v>
      </c>
      <c r="H53" s="19">
        <f t="shared" si="34"/>
        <v>1358.59</v>
      </c>
      <c r="I53" s="29">
        <f t="shared" si="35"/>
        <v>566.80999999999995</v>
      </c>
      <c r="J53" s="22">
        <f>H53+I53</f>
        <v>1925.3999999999999</v>
      </c>
      <c r="K53" s="23"/>
      <c r="L53" s="21">
        <v>20354.2</v>
      </c>
      <c r="M53" s="21">
        <v>101.76</v>
      </c>
      <c r="N53" s="21">
        <v>1693.97</v>
      </c>
      <c r="O53" s="24"/>
      <c r="P53" s="25"/>
    </row>
    <row r="54" spans="1:16" ht="15" x14ac:dyDescent="0.2">
      <c r="A54" s="18" t="s">
        <v>3</v>
      </c>
      <c r="B54" s="19">
        <f t="shared" si="31"/>
        <v>1322.47</v>
      </c>
      <c r="C54" s="19">
        <f t="shared" si="31"/>
        <v>6.61</v>
      </c>
      <c r="D54" s="20">
        <f t="shared" si="32"/>
        <v>110.76</v>
      </c>
      <c r="E54" s="19">
        <f t="shared" si="33"/>
        <v>134.55000000000001</v>
      </c>
      <c r="F54" s="20">
        <f>(9+29.76)*$J$2</f>
        <v>25.837416000000001</v>
      </c>
      <c r="G54" s="19">
        <f>SUM(B54:F54)</f>
        <v>1600.2274159999999</v>
      </c>
      <c r="H54" s="19">
        <f t="shared" si="34"/>
        <v>1594.06</v>
      </c>
      <c r="I54" s="29">
        <f t="shared" si="35"/>
        <v>669.95</v>
      </c>
      <c r="J54" s="22">
        <f>H54+I54</f>
        <v>2264.0100000000002</v>
      </c>
      <c r="K54" s="23"/>
      <c r="L54" s="21">
        <v>23806.83</v>
      </c>
      <c r="M54" s="21">
        <v>119.04</v>
      </c>
      <c r="N54" s="21">
        <v>2422.16</v>
      </c>
      <c r="O54" s="24"/>
      <c r="P54" s="25"/>
    </row>
    <row r="55" spans="1:16" ht="15" x14ac:dyDescent="0.2">
      <c r="A55" s="18" t="s">
        <v>4</v>
      </c>
      <c r="B55" s="19">
        <f t="shared" si="31"/>
        <v>1493.74</v>
      </c>
      <c r="C55" s="19">
        <f t="shared" si="31"/>
        <v>7.47</v>
      </c>
      <c r="D55" s="20">
        <f t="shared" si="32"/>
        <v>125.1</v>
      </c>
      <c r="E55" s="19">
        <f t="shared" si="33"/>
        <v>161.62</v>
      </c>
      <c r="F55" s="19">
        <f>33.61*$J$2</f>
        <v>22.404425999999997</v>
      </c>
      <c r="G55" s="19">
        <f>SUM(B55:F55)</f>
        <v>1810.3344259999999</v>
      </c>
      <c r="H55" s="19">
        <f t="shared" si="34"/>
        <v>1796.53</v>
      </c>
      <c r="I55" s="29">
        <f>ROUND((G55-F55)*40.38%+(G55-F55)*1.61%+((B55+C55)-(556.86*$J$2))*4.36%,2)</f>
        <v>800.02</v>
      </c>
      <c r="J55" s="22">
        <f>H55+I55</f>
        <v>2596.5500000000002</v>
      </c>
      <c r="K55" s="23"/>
      <c r="L55" s="21">
        <v>26890.05</v>
      </c>
      <c r="M55" s="21">
        <v>134.4</v>
      </c>
      <c r="N55" s="21">
        <v>2909.4</v>
      </c>
      <c r="O55" s="24"/>
      <c r="P55" s="25"/>
    </row>
    <row r="56" spans="1:16" x14ac:dyDescent="0.2">
      <c r="K56" s="23"/>
    </row>
    <row r="57" spans="1:16" ht="29.25" customHeight="1" x14ac:dyDescent="0.2">
      <c r="B57" s="10"/>
      <c r="C57" s="10"/>
      <c r="D57" s="10"/>
      <c r="G57" s="14"/>
      <c r="H57" s="10"/>
      <c r="J57" s="15" t="s">
        <v>23</v>
      </c>
      <c r="K57" s="23"/>
      <c r="L57" s="9"/>
      <c r="M57" s="10"/>
      <c r="N57" s="10"/>
      <c r="O57" s="10"/>
    </row>
    <row r="58" spans="1:16" ht="51" x14ac:dyDescent="0.2">
      <c r="A58" s="5" t="s">
        <v>19</v>
      </c>
      <c r="B58" s="6" t="s">
        <v>8</v>
      </c>
      <c r="C58" s="6" t="s">
        <v>6</v>
      </c>
      <c r="D58" s="5" t="s">
        <v>11</v>
      </c>
      <c r="E58" s="6" t="s">
        <v>7</v>
      </c>
      <c r="F58" s="6" t="s">
        <v>39</v>
      </c>
      <c r="G58" s="5" t="s">
        <v>0</v>
      </c>
      <c r="H58" s="6" t="s">
        <v>1</v>
      </c>
      <c r="I58" s="6" t="s">
        <v>13</v>
      </c>
      <c r="J58" s="6" t="s">
        <v>14</v>
      </c>
      <c r="K58" s="23"/>
      <c r="L58" s="4" t="s">
        <v>10</v>
      </c>
      <c r="M58" s="16" t="s">
        <v>6</v>
      </c>
      <c r="N58" s="4" t="s">
        <v>20</v>
      </c>
      <c r="O58" s="3"/>
    </row>
    <row r="59" spans="1:16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3"/>
      <c r="P59" s="17"/>
    </row>
    <row r="60" spans="1:16" ht="15" x14ac:dyDescent="0.2">
      <c r="A60" s="18" t="s">
        <v>17</v>
      </c>
      <c r="B60" s="19">
        <f>ROUND(L60/12*$J$2,2)</f>
        <v>1004.05</v>
      </c>
      <c r="C60" s="19">
        <f>ROUND(M60/12*$J$2,2)</f>
        <v>5.0199999999999996</v>
      </c>
      <c r="D60" s="20">
        <f>ROUND((B60+C60)/12,2)</f>
        <v>84.09</v>
      </c>
      <c r="E60" s="19">
        <f>ROUND(N60/12*$J$2,2)</f>
        <v>69.22</v>
      </c>
      <c r="F60" s="19">
        <f>22.59*$J$2</f>
        <v>15.058494</v>
      </c>
      <c r="G60" s="19">
        <f>SUM(B60:F60)</f>
        <v>1177.438494</v>
      </c>
      <c r="H60" s="19">
        <f>ROUND(G60+F60-G60*2%,2)</f>
        <v>1168.95</v>
      </c>
      <c r="I60" s="29">
        <f>ROUND((G60-F60)*40.38%+F60*32.7%+(G60)*1.61%,2)</f>
        <v>493.25</v>
      </c>
      <c r="J60" s="22">
        <f>H60+I60</f>
        <v>1662.2</v>
      </c>
      <c r="K60" s="23"/>
      <c r="L60" s="21">
        <v>18074.78</v>
      </c>
      <c r="M60" s="21">
        <v>90.36</v>
      </c>
      <c r="N60" s="21">
        <v>1246.1600000000001</v>
      </c>
      <c r="O60" s="24"/>
      <c r="P60" s="25"/>
    </row>
    <row r="61" spans="1:16" ht="15" x14ac:dyDescent="0.2">
      <c r="A61" s="18" t="s">
        <v>18</v>
      </c>
      <c r="B61" s="19">
        <f t="shared" ref="B61:C64" si="37">ROUND(L61/12*$J$2,2)</f>
        <v>1109.19</v>
      </c>
      <c r="C61" s="19">
        <f t="shared" si="37"/>
        <v>5.55</v>
      </c>
      <c r="D61" s="20">
        <f t="shared" ref="D61:D64" si="38">ROUND((B61+C61)/12,2)</f>
        <v>92.9</v>
      </c>
      <c r="E61" s="19">
        <f t="shared" ref="E61:E64" si="39">ROUND(N61/12*$J$2,2)</f>
        <v>69.22</v>
      </c>
      <c r="F61" s="19">
        <f>24.96*$J$2</f>
        <v>16.638335999999999</v>
      </c>
      <c r="G61" s="19">
        <f>SUM(B61:F61)</f>
        <v>1293.4983360000001</v>
      </c>
      <c r="H61" s="19">
        <f t="shared" ref="H61:H64" si="40">ROUND(G61+F61-G61*2%,2)</f>
        <v>1284.27</v>
      </c>
      <c r="I61" s="29">
        <f t="shared" ref="I61:I63" si="41">ROUND((G61-F61)*40.38%+F61*32.7%+(G61)*1.61%,2)</f>
        <v>541.86</v>
      </c>
      <c r="J61" s="22">
        <f t="shared" ref="J61" si="42">H61+I61</f>
        <v>1826.13</v>
      </c>
      <c r="K61" s="23"/>
      <c r="L61" s="21">
        <v>19967.47</v>
      </c>
      <c r="M61" s="21">
        <v>99.84</v>
      </c>
      <c r="N61" s="21">
        <v>1246.1600000000001</v>
      </c>
      <c r="O61" s="24"/>
      <c r="P61" s="25"/>
    </row>
    <row r="62" spans="1:16" ht="15" x14ac:dyDescent="0.2">
      <c r="A62" s="18" t="s">
        <v>2</v>
      </c>
      <c r="B62" s="19">
        <f t="shared" si="37"/>
        <v>1142.47</v>
      </c>
      <c r="C62" s="19">
        <f t="shared" si="37"/>
        <v>5.71</v>
      </c>
      <c r="D62" s="20">
        <f t="shared" si="38"/>
        <v>95.68</v>
      </c>
      <c r="E62" s="19">
        <f t="shared" si="39"/>
        <v>94.1</v>
      </c>
      <c r="F62" s="19">
        <f>25.71*$J$2</f>
        <v>17.138286000000001</v>
      </c>
      <c r="G62" s="19">
        <f>SUM(B62:F62)</f>
        <v>1355.0982860000001</v>
      </c>
      <c r="H62" s="19">
        <f t="shared" si="40"/>
        <v>1345.13</v>
      </c>
      <c r="I62" s="29">
        <f t="shared" si="41"/>
        <v>567.69000000000005</v>
      </c>
      <c r="J62" s="22">
        <f>H62+I62</f>
        <v>1912.8200000000002</v>
      </c>
      <c r="K62" s="23"/>
      <c r="L62" s="21">
        <v>20566.599999999999</v>
      </c>
      <c r="M62" s="21">
        <v>102.84</v>
      </c>
      <c r="N62" s="21">
        <v>1693.97</v>
      </c>
      <c r="O62" s="24"/>
      <c r="P62" s="25"/>
    </row>
    <row r="63" spans="1:16" ht="15" x14ac:dyDescent="0.2">
      <c r="A63" s="18" t="s">
        <v>3</v>
      </c>
      <c r="B63" s="19">
        <f t="shared" si="37"/>
        <v>1327.78</v>
      </c>
      <c r="C63" s="19">
        <f t="shared" si="37"/>
        <v>6.64</v>
      </c>
      <c r="D63" s="20">
        <f t="shared" si="38"/>
        <v>111.2</v>
      </c>
      <c r="E63" s="19">
        <f t="shared" si="39"/>
        <v>134.55000000000001</v>
      </c>
      <c r="F63" s="19">
        <f>29.88*$J$2</f>
        <v>19.918007999999997</v>
      </c>
      <c r="G63" s="19">
        <f>SUM(B63:F63)</f>
        <v>1600.0880080000002</v>
      </c>
      <c r="H63" s="19">
        <f t="shared" si="40"/>
        <v>1588</v>
      </c>
      <c r="I63" s="29">
        <f t="shared" si="41"/>
        <v>670.35</v>
      </c>
      <c r="J63" s="22">
        <f>H63+I63</f>
        <v>2258.35</v>
      </c>
      <c r="K63" s="23"/>
      <c r="L63" s="21">
        <v>23902.47</v>
      </c>
      <c r="M63" s="21">
        <v>119.52</v>
      </c>
      <c r="N63" s="21">
        <v>2422.16</v>
      </c>
      <c r="O63" s="24"/>
      <c r="P63" s="25"/>
    </row>
    <row r="64" spans="1:16" ht="15" x14ac:dyDescent="0.2">
      <c r="A64" s="18" t="s">
        <v>4</v>
      </c>
      <c r="B64" s="19">
        <f t="shared" si="37"/>
        <v>1493.74</v>
      </c>
      <c r="C64" s="19">
        <f t="shared" si="37"/>
        <v>7.47</v>
      </c>
      <c r="D64" s="20">
        <f t="shared" si="38"/>
        <v>125.1</v>
      </c>
      <c r="E64" s="19">
        <f t="shared" si="39"/>
        <v>161.62</v>
      </c>
      <c r="F64" s="19">
        <f>33.61*$J$2</f>
        <v>22.404425999999997</v>
      </c>
      <c r="G64" s="19">
        <f>SUM(B64:F64)</f>
        <v>1810.3344259999999</v>
      </c>
      <c r="H64" s="19">
        <f t="shared" si="40"/>
        <v>1796.53</v>
      </c>
      <c r="I64" s="29">
        <f>ROUND((G64-F64)*40.38%+(G64-F64)*1.61%+((B64+C64)-(556.86*$J$2))*4.36%,2)</f>
        <v>800.02</v>
      </c>
      <c r="J64" s="22">
        <f>H64+I64</f>
        <v>2596.5500000000002</v>
      </c>
      <c r="K64" s="23"/>
      <c r="L64" s="21">
        <v>26890.05</v>
      </c>
      <c r="M64" s="21">
        <v>134.4</v>
      </c>
      <c r="N64" s="21">
        <v>2909.4</v>
      </c>
      <c r="O64" s="24"/>
      <c r="P64" s="25"/>
    </row>
    <row r="66" spans="1:16" ht="15" x14ac:dyDescent="0.2">
      <c r="A66" s="30" t="s">
        <v>9</v>
      </c>
      <c r="B66" s="30" t="s">
        <v>25</v>
      </c>
      <c r="C66" s="30"/>
      <c r="D66" s="30"/>
      <c r="E66" s="31"/>
      <c r="F66" s="30"/>
      <c r="G66" s="30"/>
      <c r="M66" s="26"/>
      <c r="N66" s="26"/>
      <c r="O66" s="27"/>
      <c r="P66" s="25"/>
    </row>
    <row r="67" spans="1:16" x14ac:dyDescent="0.2">
      <c r="A67" s="30" t="s">
        <v>26</v>
      </c>
      <c r="B67" s="30"/>
      <c r="C67" s="30"/>
      <c r="D67" s="30"/>
      <c r="E67" s="30"/>
      <c r="F67" s="30"/>
      <c r="G67" s="30" t="s">
        <v>27</v>
      </c>
    </row>
    <row r="68" spans="1:16" x14ac:dyDescent="0.2">
      <c r="A68" s="30" t="s">
        <v>28</v>
      </c>
      <c r="B68" s="30"/>
      <c r="C68" s="30"/>
      <c r="D68" s="30"/>
      <c r="E68" s="30"/>
      <c r="F68" s="30"/>
      <c r="G68" s="30" t="s">
        <v>29</v>
      </c>
    </row>
    <row r="69" spans="1:16" x14ac:dyDescent="0.2">
      <c r="A69" s="30" t="s">
        <v>30</v>
      </c>
      <c r="B69" s="30"/>
      <c r="C69" s="30"/>
      <c r="D69" s="30"/>
      <c r="E69" s="30"/>
      <c r="F69" s="30"/>
      <c r="G69" s="30" t="s">
        <v>31</v>
      </c>
    </row>
    <row r="70" spans="1:16" x14ac:dyDescent="0.2">
      <c r="A70" s="30" t="s">
        <v>32</v>
      </c>
      <c r="B70" s="30"/>
      <c r="C70" s="30"/>
      <c r="D70" s="30"/>
      <c r="E70" s="30"/>
      <c r="F70" s="30"/>
      <c r="G70" s="30" t="s">
        <v>33</v>
      </c>
    </row>
    <row r="71" spans="1:16" x14ac:dyDescent="0.2">
      <c r="A71" s="30" t="s">
        <v>34</v>
      </c>
      <c r="B71" s="30"/>
      <c r="C71" s="30"/>
      <c r="D71" s="30"/>
      <c r="E71" s="30"/>
      <c r="F71" s="30"/>
      <c r="G71" s="30" t="s">
        <v>35</v>
      </c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scale="35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09A39-8E0C-4BB9-BE39-BDA97B5DBEF8}">
  <sheetPr>
    <pageSetUpPr fitToPage="1"/>
  </sheetPr>
  <dimension ref="A1:P71"/>
  <sheetViews>
    <sheetView view="pageBreakPreview" topLeftCell="A19" zoomScaleSheetLayoutView="100" workbookViewId="0">
      <selection activeCell="E29" sqref="E29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9" width="12.28515625" style="1" customWidth="1"/>
    <col min="10" max="10" width="14.42578125" style="1" customWidth="1"/>
    <col min="11" max="11" width="13.28515625" style="1" customWidth="1"/>
    <col min="12" max="12" width="13.85546875" style="1" customWidth="1"/>
    <col min="13" max="13" width="9.42578125" style="1" bestFit="1" customWidth="1"/>
    <col min="14" max="14" width="11.28515625" style="1" bestFit="1" customWidth="1"/>
    <col min="15" max="15" width="16.42578125" style="1" bestFit="1" customWidth="1"/>
    <col min="16" max="16384" width="12.28515625" style="1"/>
  </cols>
  <sheetData>
    <row r="1" spans="1:16" x14ac:dyDescent="0.2">
      <c r="A1" s="32" t="s">
        <v>24</v>
      </c>
      <c r="B1" s="32"/>
      <c r="C1" s="32"/>
      <c r="D1" s="32"/>
      <c r="E1" s="32"/>
      <c r="F1" s="32"/>
      <c r="G1" s="32"/>
      <c r="J1" s="9"/>
      <c r="K1" s="9"/>
      <c r="L1" s="10"/>
    </row>
    <row r="2" spans="1:16" ht="15" x14ac:dyDescent="0.2">
      <c r="A2"/>
      <c r="B2" s="28" t="s">
        <v>5</v>
      </c>
      <c r="C2" s="28"/>
      <c r="D2" s="28"/>
      <c r="E2" s="28"/>
      <c r="F2" s="28"/>
      <c r="G2" s="28"/>
      <c r="H2" s="10"/>
      <c r="I2" s="10"/>
      <c r="J2" s="7">
        <v>0.5</v>
      </c>
      <c r="K2" s="13"/>
      <c r="L2" s="10"/>
      <c r="M2" s="10"/>
      <c r="N2" s="10"/>
    </row>
    <row r="3" spans="1:16" ht="29.25" customHeight="1" x14ac:dyDescent="0.2">
      <c r="B3" s="10"/>
      <c r="C3" s="10"/>
      <c r="D3" s="10"/>
      <c r="F3" s="14"/>
      <c r="G3" s="10"/>
      <c r="I3" s="10"/>
      <c r="J3" s="15" t="s">
        <v>15</v>
      </c>
      <c r="K3" s="9"/>
      <c r="L3" s="10"/>
      <c r="M3" s="10"/>
      <c r="N3" s="10"/>
    </row>
    <row r="4" spans="1:16" ht="38.25" x14ac:dyDescent="0.2">
      <c r="A4" s="5" t="s">
        <v>19</v>
      </c>
      <c r="B4" s="6" t="s">
        <v>8</v>
      </c>
      <c r="C4" s="6" t="s">
        <v>6</v>
      </c>
      <c r="D4" s="5" t="s">
        <v>11</v>
      </c>
      <c r="E4" s="6" t="s">
        <v>7</v>
      </c>
      <c r="F4" s="11" t="s">
        <v>12</v>
      </c>
      <c r="G4" s="5" t="s">
        <v>0</v>
      </c>
      <c r="H4" s="6" t="s">
        <v>1</v>
      </c>
      <c r="I4" s="6" t="s">
        <v>13</v>
      </c>
      <c r="J4" s="6" t="s">
        <v>14</v>
      </c>
      <c r="K4" s="8"/>
      <c r="L4" s="4" t="s">
        <v>10</v>
      </c>
      <c r="M4" s="16" t="s">
        <v>6</v>
      </c>
      <c r="N4" s="4" t="s">
        <v>20</v>
      </c>
      <c r="O4" s="3"/>
    </row>
    <row r="5" spans="1:16" ht="9.75" customHeight="1" x14ac:dyDescent="0.2">
      <c r="B5" s="2"/>
      <c r="C5" s="2"/>
      <c r="D5" s="2"/>
      <c r="E5" s="2"/>
      <c r="F5" s="12"/>
      <c r="G5" s="2"/>
      <c r="H5" s="2"/>
      <c r="I5" s="2"/>
      <c r="J5" s="2"/>
      <c r="K5" s="2"/>
      <c r="P5" s="17"/>
    </row>
    <row r="6" spans="1:16" ht="15" x14ac:dyDescent="0.2">
      <c r="A6" s="18" t="s">
        <v>17</v>
      </c>
      <c r="B6" s="19">
        <f>ROUND(L6/12*$J$2,2)</f>
        <v>715.32</v>
      </c>
      <c r="C6" s="19">
        <f>ROUND(M6/12*$J$2,2)</f>
        <v>0</v>
      </c>
      <c r="D6" s="20">
        <f>ROUND((B6+C6)/12,2)</f>
        <v>59.61</v>
      </c>
      <c r="E6" s="19">
        <f>ROUND(N6/12*$J$2,2)</f>
        <v>50.38</v>
      </c>
      <c r="F6" s="20">
        <f>28*$J$2</f>
        <v>14</v>
      </c>
      <c r="G6" s="19">
        <f>SUM(B6:F6)</f>
        <v>839.31000000000006</v>
      </c>
      <c r="H6" s="19">
        <f>ROUND(G6-(G6-F6)*2%,2)</f>
        <v>822.8</v>
      </c>
      <c r="I6" s="29">
        <f>ROUND((G6-F6)*40.38%+F6*32.7%+(G6)*1.61%,2)</f>
        <v>351.35</v>
      </c>
      <c r="J6" s="22">
        <f t="shared" ref="J6:J7" si="0">H6+I6</f>
        <v>1174.1500000000001</v>
      </c>
      <c r="K6" s="23"/>
      <c r="L6" s="21">
        <v>17167.7</v>
      </c>
      <c r="M6" s="21"/>
      <c r="N6" s="21">
        <v>1209.06</v>
      </c>
      <c r="O6" s="24"/>
      <c r="P6" s="25"/>
    </row>
    <row r="7" spans="1:16" ht="15" x14ac:dyDescent="0.2">
      <c r="A7" s="18" t="s">
        <v>18</v>
      </c>
      <c r="B7" s="19">
        <f t="shared" ref="B7:C10" si="1">ROUND(L7/12*$J$2,2)</f>
        <v>796.84</v>
      </c>
      <c r="C7" s="19">
        <f t="shared" si="1"/>
        <v>0</v>
      </c>
      <c r="D7" s="20">
        <f t="shared" ref="D7:D10" si="2">ROUND((B7+C7)/12,2)</f>
        <v>66.400000000000006</v>
      </c>
      <c r="E7" s="19">
        <f t="shared" ref="E7:E10" si="3">ROUND(N7/12*$J$2,2)</f>
        <v>50.38</v>
      </c>
      <c r="F7" s="20">
        <f>22*$J$2</f>
        <v>11</v>
      </c>
      <c r="G7" s="19">
        <f>SUM(B7:F7)</f>
        <v>924.62</v>
      </c>
      <c r="H7" s="19">
        <f t="shared" ref="H7:H10" si="4">ROUND(G7-(G7-F7)*2%,2)</f>
        <v>906.35</v>
      </c>
      <c r="I7" s="29">
        <f t="shared" ref="I7:I9" si="5">ROUND((G7-F7)*40.38%+F7*32.7%+(G7)*1.61%,2)</f>
        <v>387.4</v>
      </c>
      <c r="J7" s="22">
        <f t="shared" si="0"/>
        <v>1293.75</v>
      </c>
      <c r="K7" s="23"/>
      <c r="L7" s="21">
        <v>19124.23</v>
      </c>
      <c r="M7" s="21"/>
      <c r="N7" s="21">
        <v>1209.06</v>
      </c>
      <c r="O7" s="24"/>
      <c r="P7" s="25"/>
    </row>
    <row r="8" spans="1:16" ht="15" x14ac:dyDescent="0.2">
      <c r="A8" s="18" t="s">
        <v>2</v>
      </c>
      <c r="B8" s="19">
        <f t="shared" si="1"/>
        <v>821.09</v>
      </c>
      <c r="C8" s="19">
        <f t="shared" si="1"/>
        <v>0</v>
      </c>
      <c r="D8" s="20">
        <f t="shared" si="2"/>
        <v>68.42</v>
      </c>
      <c r="E8" s="19">
        <f t="shared" si="3"/>
        <v>68.48</v>
      </c>
      <c r="F8" s="20">
        <f>20*$J$2</f>
        <v>10</v>
      </c>
      <c r="G8" s="19">
        <f t="shared" ref="G8:G10" si="6">SUM(B8:F8)</f>
        <v>967.99</v>
      </c>
      <c r="H8" s="19">
        <f t="shared" si="4"/>
        <v>948.83</v>
      </c>
      <c r="I8" s="29">
        <f t="shared" si="5"/>
        <v>405.69</v>
      </c>
      <c r="J8" s="22">
        <f>H8+I8</f>
        <v>1354.52</v>
      </c>
      <c r="K8" s="23"/>
      <c r="L8" s="21">
        <v>19706.2</v>
      </c>
      <c r="M8" s="21"/>
      <c r="N8" s="21">
        <v>1643.57</v>
      </c>
      <c r="O8" s="24"/>
      <c r="P8" s="25"/>
    </row>
    <row r="9" spans="1:16" ht="15" x14ac:dyDescent="0.2">
      <c r="A9" s="18" t="s">
        <v>3</v>
      </c>
      <c r="B9" s="19">
        <f t="shared" si="1"/>
        <v>960.65</v>
      </c>
      <c r="C9" s="19">
        <f t="shared" si="1"/>
        <v>0</v>
      </c>
      <c r="D9" s="20">
        <f t="shared" si="2"/>
        <v>80.05</v>
      </c>
      <c r="E9" s="19">
        <f t="shared" si="3"/>
        <v>97.92</v>
      </c>
      <c r="F9" s="20">
        <f>9*$J$2</f>
        <v>4.5</v>
      </c>
      <c r="G9" s="19">
        <f t="shared" si="6"/>
        <v>1143.1200000000001</v>
      </c>
      <c r="H9" s="19">
        <f t="shared" si="4"/>
        <v>1120.3499999999999</v>
      </c>
      <c r="I9" s="29">
        <f t="shared" si="5"/>
        <v>479.65</v>
      </c>
      <c r="J9" s="22">
        <f>H9+I9</f>
        <v>1600</v>
      </c>
      <c r="K9" s="23"/>
      <c r="L9" s="21">
        <v>23055.63</v>
      </c>
      <c r="M9" s="21"/>
      <c r="N9" s="21">
        <v>2350.06</v>
      </c>
      <c r="O9" s="24"/>
      <c r="P9" s="25"/>
    </row>
    <row r="10" spans="1:16" ht="15" x14ac:dyDescent="0.2">
      <c r="A10" s="18" t="s">
        <v>4</v>
      </c>
      <c r="B10" s="19">
        <f t="shared" si="1"/>
        <v>1084.3699999999999</v>
      </c>
      <c r="C10" s="19">
        <f t="shared" si="1"/>
        <v>0</v>
      </c>
      <c r="D10" s="20">
        <f t="shared" si="2"/>
        <v>90.36</v>
      </c>
      <c r="E10" s="19">
        <f t="shared" si="3"/>
        <v>117.37</v>
      </c>
      <c r="F10" s="20"/>
      <c r="G10" s="19">
        <f t="shared" si="6"/>
        <v>1292.0999999999999</v>
      </c>
      <c r="H10" s="19">
        <f t="shared" si="4"/>
        <v>1266.26</v>
      </c>
      <c r="I10" s="29">
        <f>ROUND((G10-F10)*40.38%+(G10-F10)*1.61%+((B10+C10)-(556.86*$J$2))*4.36%,2)</f>
        <v>577.69000000000005</v>
      </c>
      <c r="J10" s="22">
        <f>H10+I10</f>
        <v>1843.95</v>
      </c>
      <c r="K10" s="23"/>
      <c r="L10" s="21">
        <v>26024.85</v>
      </c>
      <c r="M10" s="21"/>
      <c r="N10" s="21">
        <v>2816.8</v>
      </c>
      <c r="O10" s="24"/>
      <c r="P10" s="25"/>
    </row>
    <row r="11" spans="1:16" x14ac:dyDescent="0.2">
      <c r="K11" s="23"/>
    </row>
    <row r="12" spans="1:16" ht="29.25" customHeight="1" x14ac:dyDescent="0.2">
      <c r="B12" s="10"/>
      <c r="C12" s="10"/>
      <c r="D12" s="10"/>
      <c r="G12" s="14"/>
      <c r="H12" s="10"/>
      <c r="J12" s="15" t="s">
        <v>16</v>
      </c>
      <c r="K12" s="23"/>
      <c r="L12" s="10"/>
      <c r="M12" s="10"/>
      <c r="N12" s="10"/>
    </row>
    <row r="13" spans="1:16" ht="38.25" x14ac:dyDescent="0.2">
      <c r="A13" s="5" t="s">
        <v>19</v>
      </c>
      <c r="B13" s="6" t="s">
        <v>8</v>
      </c>
      <c r="C13" s="6" t="s">
        <v>6</v>
      </c>
      <c r="D13" s="5" t="s">
        <v>11</v>
      </c>
      <c r="E13" s="6" t="s">
        <v>7</v>
      </c>
      <c r="F13" s="11" t="s">
        <v>12</v>
      </c>
      <c r="G13" s="5" t="s">
        <v>0</v>
      </c>
      <c r="H13" s="6" t="s">
        <v>1</v>
      </c>
      <c r="I13" s="6" t="s">
        <v>13</v>
      </c>
      <c r="J13" s="6" t="s">
        <v>14</v>
      </c>
      <c r="K13" s="23"/>
      <c r="L13" s="4" t="s">
        <v>10</v>
      </c>
      <c r="M13" s="16" t="s">
        <v>6</v>
      </c>
      <c r="N13" s="4" t="s">
        <v>20</v>
      </c>
      <c r="O13" s="3"/>
    </row>
    <row r="14" spans="1:16" ht="9.75" customHeight="1" x14ac:dyDescent="0.2">
      <c r="B14" s="2"/>
      <c r="C14" s="2"/>
      <c r="D14" s="2"/>
      <c r="E14" s="2"/>
      <c r="F14" s="12"/>
      <c r="G14" s="2"/>
      <c r="H14" s="2"/>
      <c r="I14" s="2"/>
      <c r="J14" s="2"/>
      <c r="K14" s="23"/>
      <c r="P14" s="17"/>
    </row>
    <row r="15" spans="1:16" ht="15" x14ac:dyDescent="0.2">
      <c r="A15" s="18" t="s">
        <v>17</v>
      </c>
      <c r="B15" s="19">
        <f>ROUND(L15/12*$J$2,2)</f>
        <v>722.17</v>
      </c>
      <c r="C15" s="19">
        <f>ROUND(M15/12*$J$2,2)</f>
        <v>0</v>
      </c>
      <c r="D15" s="20">
        <f>ROUND((B15+C15)/12,2)</f>
        <v>60.18</v>
      </c>
      <c r="E15" s="19">
        <f>ROUND(N15/12*$J$2,2)</f>
        <v>50.38</v>
      </c>
      <c r="F15" s="20">
        <f>28*$J$2</f>
        <v>14</v>
      </c>
      <c r="G15" s="19">
        <f>SUM(B15:F15)</f>
        <v>846.7299999999999</v>
      </c>
      <c r="H15" s="19">
        <f>ROUND(G15+F15-G15*2%,2)</f>
        <v>843.8</v>
      </c>
      <c r="I15" s="29">
        <f>ROUND((G15-F15)*40.38%+F15*32.7%+(G15)*1.61%,2)</f>
        <v>354.47</v>
      </c>
      <c r="J15" s="22">
        <f t="shared" ref="J15:J16" si="7">H15+I15</f>
        <v>1198.27</v>
      </c>
      <c r="K15" s="23"/>
      <c r="L15" s="21">
        <v>17332.099999999999</v>
      </c>
      <c r="M15" s="21"/>
      <c r="N15" s="21">
        <v>1209.06</v>
      </c>
      <c r="O15" s="24"/>
      <c r="P15" s="25"/>
    </row>
    <row r="16" spans="1:16" ht="15" x14ac:dyDescent="0.2">
      <c r="A16" s="18" t="s">
        <v>18</v>
      </c>
      <c r="B16" s="19">
        <f t="shared" ref="B16:C19" si="8">ROUND(L16/12*$J$2,2)</f>
        <v>803.69</v>
      </c>
      <c r="C16" s="19">
        <f t="shared" si="8"/>
        <v>0</v>
      </c>
      <c r="D16" s="20">
        <f t="shared" ref="D16:D19" si="9">ROUND((B16+C16)/12,2)</f>
        <v>66.97</v>
      </c>
      <c r="E16" s="19">
        <f t="shared" ref="E16:E19" si="10">ROUND(N16/12*$J$2,2)</f>
        <v>50.38</v>
      </c>
      <c r="F16" s="20">
        <f>22*$J$2</f>
        <v>11</v>
      </c>
      <c r="G16" s="19">
        <f>SUM(B16:F16)</f>
        <v>932.04000000000008</v>
      </c>
      <c r="H16" s="19">
        <f t="shared" ref="H16:H19" si="11">ROUND(G16+F16-G16*2%,2)</f>
        <v>924.4</v>
      </c>
      <c r="I16" s="29">
        <f t="shared" ref="I16:I18" si="12">ROUND((G16-F16)*40.38%+F16*32.7%+(G16)*1.61%,2)</f>
        <v>390.52</v>
      </c>
      <c r="J16" s="22">
        <f t="shared" si="7"/>
        <v>1314.92</v>
      </c>
      <c r="K16" s="23"/>
      <c r="L16" s="21">
        <v>19288.63</v>
      </c>
      <c r="M16" s="21"/>
      <c r="N16" s="21">
        <v>1209.06</v>
      </c>
      <c r="O16" s="24"/>
      <c r="P16" s="25"/>
    </row>
    <row r="17" spans="1:16" ht="15" x14ac:dyDescent="0.2">
      <c r="A17" s="18" t="s">
        <v>2</v>
      </c>
      <c r="B17" s="19">
        <f t="shared" si="8"/>
        <v>828.39</v>
      </c>
      <c r="C17" s="19">
        <f t="shared" si="8"/>
        <v>0</v>
      </c>
      <c r="D17" s="20">
        <f t="shared" si="9"/>
        <v>69.03</v>
      </c>
      <c r="E17" s="19">
        <f t="shared" si="10"/>
        <v>68.48</v>
      </c>
      <c r="F17" s="20">
        <f>20*$J$2</f>
        <v>10</v>
      </c>
      <c r="G17" s="19">
        <f>SUM(B17:E17)</f>
        <v>965.9</v>
      </c>
      <c r="H17" s="19">
        <f t="shared" si="11"/>
        <v>956.58</v>
      </c>
      <c r="I17" s="29">
        <f t="shared" si="12"/>
        <v>404.81</v>
      </c>
      <c r="J17" s="22">
        <f>H17+I17</f>
        <v>1361.39</v>
      </c>
      <c r="K17" s="23"/>
      <c r="L17" s="21">
        <v>19881.400000000001</v>
      </c>
      <c r="M17" s="21"/>
      <c r="N17" s="21">
        <v>1643.57</v>
      </c>
      <c r="O17" s="24"/>
      <c r="P17" s="25"/>
    </row>
    <row r="18" spans="1:16" ht="15" x14ac:dyDescent="0.2">
      <c r="A18" s="18" t="s">
        <v>3</v>
      </c>
      <c r="B18" s="19">
        <f t="shared" si="8"/>
        <v>969.1</v>
      </c>
      <c r="C18" s="19">
        <f t="shared" si="8"/>
        <v>0</v>
      </c>
      <c r="D18" s="20">
        <f t="shared" si="9"/>
        <v>80.760000000000005</v>
      </c>
      <c r="E18" s="19">
        <f t="shared" si="10"/>
        <v>97.92</v>
      </c>
      <c r="F18" s="20">
        <f>9*$J$2</f>
        <v>4.5</v>
      </c>
      <c r="G18" s="19">
        <f>SUM(B18:E18)</f>
        <v>1147.7800000000002</v>
      </c>
      <c r="H18" s="19">
        <f t="shared" si="11"/>
        <v>1129.32</v>
      </c>
      <c r="I18" s="29">
        <f t="shared" si="12"/>
        <v>481.61</v>
      </c>
      <c r="J18" s="22">
        <f>H18+I18</f>
        <v>1610.9299999999998</v>
      </c>
      <c r="K18" s="23"/>
      <c r="L18" s="21">
        <v>23258.43</v>
      </c>
      <c r="M18" s="21"/>
      <c r="N18" s="21">
        <v>2350.06</v>
      </c>
      <c r="O18" s="24"/>
      <c r="P18" s="25"/>
    </row>
    <row r="19" spans="1:16" ht="15" x14ac:dyDescent="0.2">
      <c r="A19" s="18" t="s">
        <v>4</v>
      </c>
      <c r="B19" s="19">
        <f t="shared" si="8"/>
        <v>1094.1199999999999</v>
      </c>
      <c r="C19" s="19">
        <f t="shared" si="8"/>
        <v>0</v>
      </c>
      <c r="D19" s="20">
        <f t="shared" si="9"/>
        <v>91.18</v>
      </c>
      <c r="E19" s="19">
        <f t="shared" si="10"/>
        <v>117.37</v>
      </c>
      <c r="F19" s="19"/>
      <c r="G19" s="19">
        <f>SUM(B19:E19)</f>
        <v>1302.67</v>
      </c>
      <c r="H19" s="19">
        <f t="shared" si="11"/>
        <v>1276.6199999999999</v>
      </c>
      <c r="I19" s="29">
        <f>ROUND((G19-F19)*40.38%+(G19-F19)*1.61%+((B19+C19)-(556.86*$J$2))*4.36%,2)</f>
        <v>582.55999999999995</v>
      </c>
      <c r="J19" s="22">
        <f>H19+I19</f>
        <v>1859.1799999999998</v>
      </c>
      <c r="K19" s="23"/>
      <c r="L19" s="21">
        <v>26258.85</v>
      </c>
      <c r="M19" s="21"/>
      <c r="N19" s="21">
        <v>2816.8</v>
      </c>
      <c r="O19" s="24"/>
      <c r="P19" s="25"/>
    </row>
    <row r="20" spans="1:16" x14ac:dyDescent="0.2">
      <c r="K20" s="23"/>
    </row>
    <row r="21" spans="1:16" ht="29.25" customHeight="1" x14ac:dyDescent="0.2">
      <c r="B21" s="10"/>
      <c r="C21" s="10"/>
      <c r="D21" s="10"/>
      <c r="G21" s="14"/>
      <c r="H21" s="10"/>
      <c r="J21" s="15" t="s">
        <v>21</v>
      </c>
      <c r="K21" s="23"/>
      <c r="L21" s="9"/>
      <c r="M21" s="10"/>
      <c r="N21" s="10"/>
      <c r="O21" s="10"/>
    </row>
    <row r="22" spans="1:16" ht="38.25" x14ac:dyDescent="0.2">
      <c r="A22" s="5" t="s">
        <v>19</v>
      </c>
      <c r="B22" s="6" t="s">
        <v>8</v>
      </c>
      <c r="C22" s="6" t="s">
        <v>6</v>
      </c>
      <c r="D22" s="5" t="s">
        <v>11</v>
      </c>
      <c r="E22" s="6" t="s">
        <v>7</v>
      </c>
      <c r="F22" s="6" t="s">
        <v>12</v>
      </c>
      <c r="G22" s="5" t="s">
        <v>0</v>
      </c>
      <c r="H22" s="6" t="s">
        <v>1</v>
      </c>
      <c r="I22" s="6" t="s">
        <v>13</v>
      </c>
      <c r="J22" s="6" t="s">
        <v>14</v>
      </c>
      <c r="K22" s="23"/>
      <c r="L22" s="4" t="s">
        <v>10</v>
      </c>
      <c r="M22" s="16" t="s">
        <v>6</v>
      </c>
      <c r="N22" s="4" t="s">
        <v>20</v>
      </c>
      <c r="O22" s="3"/>
    </row>
    <row r="23" spans="1:16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3"/>
      <c r="P23" s="17"/>
    </row>
    <row r="24" spans="1:16" ht="15" x14ac:dyDescent="0.2">
      <c r="A24" s="18" t="s">
        <v>17</v>
      </c>
      <c r="B24" s="19">
        <f>ROUND(L24/12*$J$2,2)</f>
        <v>740.72</v>
      </c>
      <c r="C24" s="19">
        <f>ROUND(M24/12*$J$2,2)</f>
        <v>0</v>
      </c>
      <c r="D24" s="20">
        <f>ROUND((B24+C24)/12,2)</f>
        <v>61.73</v>
      </c>
      <c r="E24" s="19">
        <f>ROUND(N24/12*$J$2,2)</f>
        <v>51.92</v>
      </c>
      <c r="F24" s="20">
        <f>28*$J$2</f>
        <v>14</v>
      </c>
      <c r="G24" s="19">
        <f>SUM(B24:F24)</f>
        <v>868.37</v>
      </c>
      <c r="H24" s="19">
        <f>ROUND(G24+F24-G24*2%,2)</f>
        <v>865</v>
      </c>
      <c r="I24" s="29">
        <f>ROUND((G24-F24)*40.38%+F24*32.7%+(G24)*1.61%,2)</f>
        <v>363.55</v>
      </c>
      <c r="J24" s="22">
        <f t="shared" ref="J24:J25" si="13">H24+I24</f>
        <v>1228.55</v>
      </c>
      <c r="K24" s="23"/>
      <c r="L24" s="21">
        <v>17777.3</v>
      </c>
      <c r="M24" s="21"/>
      <c r="N24" s="21">
        <v>1246.1600000000001</v>
      </c>
      <c r="O24" s="24"/>
      <c r="P24" s="25"/>
    </row>
    <row r="25" spans="1:16" ht="15" x14ac:dyDescent="0.2">
      <c r="A25" s="18" t="s">
        <v>18</v>
      </c>
      <c r="B25" s="19">
        <f t="shared" ref="B25:C28" si="14">ROUND(L25/12*$J$2,2)</f>
        <v>822.24</v>
      </c>
      <c r="C25" s="19">
        <f t="shared" si="14"/>
        <v>0</v>
      </c>
      <c r="D25" s="20">
        <f t="shared" ref="D25:D28" si="15">ROUND((B25+C25)/12,2)</f>
        <v>68.52</v>
      </c>
      <c r="E25" s="19">
        <f t="shared" ref="E25:E28" si="16">ROUND(N25/12*$J$2,2)</f>
        <v>51.92</v>
      </c>
      <c r="F25" s="20">
        <f>22*$J$2</f>
        <v>11</v>
      </c>
      <c r="G25" s="19">
        <f>SUM(B25:F25)</f>
        <v>953.68</v>
      </c>
      <c r="H25" s="19">
        <f t="shared" ref="H25:H28" si="17">ROUND(G25+F25-G25*2%,2)</f>
        <v>945.61</v>
      </c>
      <c r="I25" s="29">
        <f t="shared" ref="I25:I27" si="18">ROUND((G25-F25)*40.38%+F25*32.7%+(G25)*1.61%,2)</f>
        <v>399.61</v>
      </c>
      <c r="J25" s="22">
        <f t="shared" si="13"/>
        <v>1345.22</v>
      </c>
      <c r="K25" s="23"/>
      <c r="L25" s="21">
        <v>19733.830000000002</v>
      </c>
      <c r="M25" s="21"/>
      <c r="N25" s="21">
        <v>1246.1600000000001</v>
      </c>
      <c r="O25" s="24"/>
      <c r="P25" s="25"/>
    </row>
    <row r="26" spans="1:16" ht="15" x14ac:dyDescent="0.2">
      <c r="A26" s="18" t="s">
        <v>2</v>
      </c>
      <c r="B26" s="19">
        <f t="shared" si="14"/>
        <v>848.09</v>
      </c>
      <c r="C26" s="19">
        <f t="shared" si="14"/>
        <v>0</v>
      </c>
      <c r="D26" s="20">
        <f t="shared" si="15"/>
        <v>70.67</v>
      </c>
      <c r="E26" s="19">
        <f t="shared" si="16"/>
        <v>70.58</v>
      </c>
      <c r="F26" s="20">
        <f>20*$J$2</f>
        <v>10</v>
      </c>
      <c r="G26" s="19">
        <f>SUM(B26:F26)</f>
        <v>999.34</v>
      </c>
      <c r="H26" s="19">
        <f t="shared" si="17"/>
        <v>989.35</v>
      </c>
      <c r="I26" s="29">
        <f t="shared" si="18"/>
        <v>418.85</v>
      </c>
      <c r="J26" s="22">
        <f>H26+I26</f>
        <v>1408.2</v>
      </c>
      <c r="K26" s="23"/>
      <c r="L26" s="21">
        <v>20354.2</v>
      </c>
      <c r="M26" s="21"/>
      <c r="N26" s="21">
        <v>1693.97</v>
      </c>
      <c r="O26" s="24"/>
      <c r="P26" s="25"/>
    </row>
    <row r="27" spans="1:16" ht="15" x14ac:dyDescent="0.2">
      <c r="A27" s="18" t="s">
        <v>3</v>
      </c>
      <c r="B27" s="19">
        <f t="shared" si="14"/>
        <v>991.95</v>
      </c>
      <c r="C27" s="19">
        <f t="shared" si="14"/>
        <v>0</v>
      </c>
      <c r="D27" s="20">
        <f t="shared" si="15"/>
        <v>82.66</v>
      </c>
      <c r="E27" s="19">
        <f t="shared" si="16"/>
        <v>100.92</v>
      </c>
      <c r="F27" s="20">
        <f>9*$J$2</f>
        <v>4.5</v>
      </c>
      <c r="G27" s="19">
        <f>SUM(B27:F27)</f>
        <v>1180.0300000000002</v>
      </c>
      <c r="H27" s="19">
        <f t="shared" si="17"/>
        <v>1160.93</v>
      </c>
      <c r="I27" s="29">
        <f t="shared" si="18"/>
        <v>495.15</v>
      </c>
      <c r="J27" s="22">
        <f>H27+I27</f>
        <v>1656.08</v>
      </c>
      <c r="K27" s="23"/>
      <c r="L27" s="21">
        <v>23806.83</v>
      </c>
      <c r="M27" s="21"/>
      <c r="N27" s="21">
        <v>2422.16</v>
      </c>
      <c r="O27" s="24"/>
      <c r="P27" s="25"/>
    </row>
    <row r="28" spans="1:16" ht="15" x14ac:dyDescent="0.2">
      <c r="A28" s="18" t="s">
        <v>4</v>
      </c>
      <c r="B28" s="19">
        <f t="shared" si="14"/>
        <v>1120.42</v>
      </c>
      <c r="C28" s="19">
        <f t="shared" si="14"/>
        <v>0</v>
      </c>
      <c r="D28" s="20">
        <f t="shared" si="15"/>
        <v>93.37</v>
      </c>
      <c r="E28" s="19">
        <f t="shared" si="16"/>
        <v>121.23</v>
      </c>
      <c r="F28" s="19"/>
      <c r="G28" s="19">
        <f>SUM(B28:F28)</f>
        <v>1335.02</v>
      </c>
      <c r="H28" s="19">
        <f t="shared" si="17"/>
        <v>1308.32</v>
      </c>
      <c r="I28" s="29">
        <f>ROUND((G28-F28)*40.38%+(G28-F28)*1.61%+((B28+C28)-(556.86*$J$2))*4.36%,2)</f>
        <v>597.29</v>
      </c>
      <c r="J28" s="22">
        <f>H28+I28</f>
        <v>1905.61</v>
      </c>
      <c r="K28" s="23"/>
      <c r="L28" s="21">
        <v>26890.05</v>
      </c>
      <c r="M28" s="21"/>
      <c r="N28" s="21">
        <v>2909.4</v>
      </c>
      <c r="O28" s="24"/>
      <c r="P28" s="25"/>
    </row>
    <row r="29" spans="1:16" x14ac:dyDescent="0.2">
      <c r="K29" s="23"/>
    </row>
    <row r="30" spans="1:16" ht="29.25" customHeight="1" x14ac:dyDescent="0.2">
      <c r="B30" s="10"/>
      <c r="C30" s="10"/>
      <c r="D30" s="10"/>
      <c r="G30" s="14"/>
      <c r="H30" s="10"/>
      <c r="J30" s="15" t="s">
        <v>22</v>
      </c>
      <c r="K30" s="23"/>
      <c r="L30" s="9"/>
      <c r="M30" s="10"/>
      <c r="N30" s="10"/>
      <c r="O30" s="10"/>
    </row>
    <row r="31" spans="1:16" ht="38.25" x14ac:dyDescent="0.2">
      <c r="A31" s="5" t="s">
        <v>19</v>
      </c>
      <c r="B31" s="6" t="s">
        <v>8</v>
      </c>
      <c r="C31" s="6" t="s">
        <v>6</v>
      </c>
      <c r="D31" s="5" t="s">
        <v>11</v>
      </c>
      <c r="E31" s="6" t="s">
        <v>7</v>
      </c>
      <c r="F31" s="6" t="s">
        <v>12</v>
      </c>
      <c r="G31" s="5" t="s">
        <v>0</v>
      </c>
      <c r="H31" s="6" t="s">
        <v>1</v>
      </c>
      <c r="I31" s="6" t="s">
        <v>13</v>
      </c>
      <c r="J31" s="6" t="s">
        <v>14</v>
      </c>
      <c r="K31" s="23"/>
      <c r="L31" s="4" t="s">
        <v>10</v>
      </c>
      <c r="M31" s="16" t="s">
        <v>6</v>
      </c>
      <c r="N31" s="4" t="s">
        <v>20</v>
      </c>
      <c r="O31" s="3"/>
    </row>
    <row r="32" spans="1:16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3"/>
      <c r="P32" s="17"/>
    </row>
    <row r="33" spans="1:16" ht="15" x14ac:dyDescent="0.2">
      <c r="A33" s="18" t="s">
        <v>17</v>
      </c>
      <c r="B33" s="19">
        <f>ROUND(L33/12*$J$2,2)</f>
        <v>740.72</v>
      </c>
      <c r="C33" s="19">
        <f>ROUND(M33/12*$J$2,2)</f>
        <v>2.2200000000000002</v>
      </c>
      <c r="D33" s="20">
        <f>ROUND((B33+C33)/12,2)</f>
        <v>61.91</v>
      </c>
      <c r="E33" s="19">
        <f>ROUND(N33/12*$J$2,2)</f>
        <v>51.92</v>
      </c>
      <c r="F33" s="20">
        <f>28*$J$2</f>
        <v>14</v>
      </c>
      <c r="G33" s="19">
        <f>SUM(B33:F33)</f>
        <v>870.77</v>
      </c>
      <c r="H33" s="19">
        <f>ROUND(G33+F33-G33*2%,2)</f>
        <v>867.35</v>
      </c>
      <c r="I33" s="29">
        <f>ROUND((G33-F33)*40.38%+F33*32.7%+(G33)*1.61%,2)</f>
        <v>364.56</v>
      </c>
      <c r="J33" s="22">
        <f t="shared" ref="J33:J34" si="19">H33+I33</f>
        <v>1231.9100000000001</v>
      </c>
      <c r="K33" s="23"/>
      <c r="L33" s="21">
        <v>17777.3</v>
      </c>
      <c r="M33" s="21">
        <v>53.28</v>
      </c>
      <c r="N33" s="21">
        <v>1246.1600000000001</v>
      </c>
      <c r="O33" s="24"/>
      <c r="P33" s="25"/>
    </row>
    <row r="34" spans="1:16" ht="15" x14ac:dyDescent="0.2">
      <c r="A34" s="18" t="s">
        <v>18</v>
      </c>
      <c r="B34" s="19">
        <f t="shared" ref="B34:C37" si="20">ROUND(L34/12*$J$2,2)</f>
        <v>822.24</v>
      </c>
      <c r="C34" s="19">
        <f t="shared" si="20"/>
        <v>2.4700000000000002</v>
      </c>
      <c r="D34" s="20">
        <f t="shared" ref="D34:D37" si="21">ROUND((B34+C34)/12,2)</f>
        <v>68.73</v>
      </c>
      <c r="E34" s="19">
        <f t="shared" ref="E34:E37" si="22">ROUND(N34/12*$J$2,2)</f>
        <v>51.92</v>
      </c>
      <c r="F34" s="20">
        <f>22*$J$2</f>
        <v>11</v>
      </c>
      <c r="G34" s="19">
        <f>SUM(B34:F34)</f>
        <v>956.36</v>
      </c>
      <c r="H34" s="19">
        <f t="shared" ref="H34:H37" si="23">ROUND(G34+F34-G34*2%,2)</f>
        <v>948.23</v>
      </c>
      <c r="I34" s="29">
        <f t="shared" ref="I34:I36" si="24">ROUND((G34-F34)*40.38%+F34*32.7%+(G34)*1.61%,2)</f>
        <v>400.73</v>
      </c>
      <c r="J34" s="22">
        <f t="shared" si="19"/>
        <v>1348.96</v>
      </c>
      <c r="K34" s="23"/>
      <c r="L34" s="21">
        <v>19733.830000000002</v>
      </c>
      <c r="M34" s="21">
        <v>59.16</v>
      </c>
      <c r="N34" s="21">
        <v>1246.1600000000001</v>
      </c>
      <c r="O34" s="24"/>
      <c r="P34" s="25"/>
    </row>
    <row r="35" spans="1:16" ht="15" x14ac:dyDescent="0.2">
      <c r="A35" s="18" t="s">
        <v>2</v>
      </c>
      <c r="B35" s="19">
        <f t="shared" si="20"/>
        <v>848.09</v>
      </c>
      <c r="C35" s="19">
        <f t="shared" si="20"/>
        <v>2.5499999999999998</v>
      </c>
      <c r="D35" s="20">
        <f t="shared" si="21"/>
        <v>70.89</v>
      </c>
      <c r="E35" s="19">
        <f t="shared" si="22"/>
        <v>70.58</v>
      </c>
      <c r="F35" s="20">
        <f>20*$J$2</f>
        <v>10</v>
      </c>
      <c r="G35" s="19">
        <f>SUM(B35:F35)</f>
        <v>1002.11</v>
      </c>
      <c r="H35" s="19">
        <f t="shared" si="23"/>
        <v>992.07</v>
      </c>
      <c r="I35" s="29">
        <f t="shared" si="24"/>
        <v>420.02</v>
      </c>
      <c r="J35" s="22">
        <f>H35+I35</f>
        <v>1412.0900000000001</v>
      </c>
      <c r="K35" s="23"/>
      <c r="L35" s="21">
        <v>20354.2</v>
      </c>
      <c r="M35" s="21">
        <v>61.08</v>
      </c>
      <c r="N35" s="21">
        <v>1693.97</v>
      </c>
      <c r="O35" s="24"/>
      <c r="P35" s="25"/>
    </row>
    <row r="36" spans="1:16" ht="15" x14ac:dyDescent="0.2">
      <c r="A36" s="18" t="s">
        <v>3</v>
      </c>
      <c r="B36" s="19">
        <f t="shared" si="20"/>
        <v>991.95</v>
      </c>
      <c r="C36" s="19">
        <f t="shared" si="20"/>
        <v>2.98</v>
      </c>
      <c r="D36" s="20">
        <f t="shared" si="21"/>
        <v>82.91</v>
      </c>
      <c r="E36" s="19">
        <f t="shared" si="22"/>
        <v>100.92</v>
      </c>
      <c r="F36" s="20">
        <f>9*$J$2</f>
        <v>4.5</v>
      </c>
      <c r="G36" s="19">
        <f>SUM(B36:F36)</f>
        <v>1183.2600000000002</v>
      </c>
      <c r="H36" s="19">
        <f t="shared" si="23"/>
        <v>1164.0899999999999</v>
      </c>
      <c r="I36" s="29">
        <f t="shared" si="24"/>
        <v>496.51</v>
      </c>
      <c r="J36" s="22">
        <f>H36+I36</f>
        <v>1660.6</v>
      </c>
      <c r="K36" s="23"/>
      <c r="L36" s="21">
        <v>23806.83</v>
      </c>
      <c r="M36" s="21">
        <v>71.400000000000006</v>
      </c>
      <c r="N36" s="21">
        <v>2422.16</v>
      </c>
      <c r="O36" s="24"/>
      <c r="P36" s="25"/>
    </row>
    <row r="37" spans="1:16" ht="15" x14ac:dyDescent="0.2">
      <c r="A37" s="18" t="s">
        <v>4</v>
      </c>
      <c r="B37" s="19">
        <f t="shared" si="20"/>
        <v>1120.42</v>
      </c>
      <c r="C37" s="19">
        <f t="shared" si="20"/>
        <v>3.36</v>
      </c>
      <c r="D37" s="20">
        <f t="shared" si="21"/>
        <v>93.65</v>
      </c>
      <c r="E37" s="19">
        <f t="shared" si="22"/>
        <v>121.23</v>
      </c>
      <c r="F37" s="19"/>
      <c r="G37" s="19">
        <f>SUM(B37:F37)</f>
        <v>1338.66</v>
      </c>
      <c r="H37" s="19">
        <f t="shared" si="23"/>
        <v>1311.89</v>
      </c>
      <c r="I37" s="29">
        <f>ROUND((G37-F37)*40.38%+(G37-F37)*1.61%+((B37+C37)-(556.86*$J$2))*4.36%,2)</f>
        <v>598.96</v>
      </c>
      <c r="J37" s="22">
        <f>H37+I37</f>
        <v>1910.8500000000001</v>
      </c>
      <c r="K37" s="23"/>
      <c r="L37" s="21">
        <v>26890.05</v>
      </c>
      <c r="M37" s="21">
        <v>80.64</v>
      </c>
      <c r="N37" s="21">
        <v>2909.4</v>
      </c>
      <c r="O37" s="24"/>
      <c r="P37" s="25"/>
    </row>
    <row r="38" spans="1:16" x14ac:dyDescent="0.2">
      <c r="K38" s="23"/>
    </row>
    <row r="39" spans="1:16" ht="29.25" customHeight="1" x14ac:dyDescent="0.2">
      <c r="B39" s="10"/>
      <c r="C39" s="10"/>
      <c r="D39" s="10"/>
      <c r="G39" s="14"/>
      <c r="H39" s="10"/>
      <c r="J39" s="15" t="s">
        <v>36</v>
      </c>
      <c r="K39" s="23"/>
      <c r="L39" s="9"/>
      <c r="M39" s="10"/>
      <c r="N39" s="10"/>
      <c r="O39" s="10"/>
    </row>
    <row r="40" spans="1:16" ht="38.25" x14ac:dyDescent="0.2">
      <c r="A40" s="5" t="s">
        <v>19</v>
      </c>
      <c r="B40" s="6" t="s">
        <v>8</v>
      </c>
      <c r="C40" s="6" t="s">
        <v>6</v>
      </c>
      <c r="D40" s="5" t="s">
        <v>11</v>
      </c>
      <c r="E40" s="6" t="s">
        <v>7</v>
      </c>
      <c r="F40" s="6" t="s">
        <v>12</v>
      </c>
      <c r="G40" s="5" t="s">
        <v>0</v>
      </c>
      <c r="H40" s="6" t="s">
        <v>1</v>
      </c>
      <c r="I40" s="6" t="s">
        <v>13</v>
      </c>
      <c r="J40" s="6" t="s">
        <v>14</v>
      </c>
      <c r="K40" s="23"/>
      <c r="L40" s="4" t="s">
        <v>10</v>
      </c>
      <c r="M40" s="16" t="s">
        <v>6</v>
      </c>
      <c r="N40" s="4" t="s">
        <v>20</v>
      </c>
      <c r="O40" s="3"/>
    </row>
    <row r="41" spans="1:16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3"/>
      <c r="P41" s="17"/>
    </row>
    <row r="42" spans="1:16" ht="15" x14ac:dyDescent="0.2">
      <c r="A42" s="18" t="s">
        <v>17</v>
      </c>
      <c r="B42" s="19">
        <f>ROUND(L42/12*$J$2,2)</f>
        <v>740.72</v>
      </c>
      <c r="C42" s="19">
        <f>ROUND(M42/12*$J$2,2)</f>
        <v>3.71</v>
      </c>
      <c r="D42" s="20">
        <f>ROUND((B42+C42)/12,2)</f>
        <v>62.04</v>
      </c>
      <c r="E42" s="19">
        <f>ROUND(N42/12*$J$2,2)</f>
        <v>51.92</v>
      </c>
      <c r="F42" s="20">
        <f>28*$J$2</f>
        <v>14</v>
      </c>
      <c r="G42" s="19">
        <f>SUM(B42:F42)</f>
        <v>872.39</v>
      </c>
      <c r="H42" s="19">
        <f>ROUND(G42+F42-G42*2%,2)</f>
        <v>868.94</v>
      </c>
      <c r="I42" s="29">
        <f>ROUND((G42-F42)*40.38%+F42*32.7%+(G42)*1.61%,2)</f>
        <v>365.24</v>
      </c>
      <c r="J42" s="22">
        <f>H42+I42</f>
        <v>1234.18</v>
      </c>
      <c r="K42" s="23"/>
      <c r="L42" s="21">
        <v>17777.3</v>
      </c>
      <c r="M42" s="21">
        <v>88.92</v>
      </c>
      <c r="N42" s="21">
        <v>1246.1600000000001</v>
      </c>
      <c r="O42" s="24"/>
      <c r="P42" s="25"/>
    </row>
    <row r="43" spans="1:16" ht="15" x14ac:dyDescent="0.2">
      <c r="A43" s="18" t="s">
        <v>18</v>
      </c>
      <c r="B43" s="19">
        <f t="shared" ref="B43:C46" si="25">ROUND(L43/12*$J$2,2)</f>
        <v>822.24</v>
      </c>
      <c r="C43" s="19">
        <f t="shared" si="25"/>
        <v>4.1100000000000003</v>
      </c>
      <c r="D43" s="20">
        <f t="shared" ref="D43:D46" si="26">ROUND((B43+C43)/12,2)</f>
        <v>68.86</v>
      </c>
      <c r="E43" s="19">
        <f t="shared" ref="E43:E46" si="27">ROUND(N43/12*$J$2,2)</f>
        <v>51.92</v>
      </c>
      <c r="F43" s="20">
        <f>22*$J$2</f>
        <v>11</v>
      </c>
      <c r="G43" s="19">
        <f>SUM(B43:F43)</f>
        <v>958.13</v>
      </c>
      <c r="H43" s="19">
        <f t="shared" ref="H43:H46" si="28">ROUND(G43+F43-G43*2%,2)</f>
        <v>949.97</v>
      </c>
      <c r="I43" s="29">
        <f t="shared" ref="I43:I45" si="29">ROUND((G43-F43)*40.38%+F43*32.7%+(G43)*1.61%,2)</f>
        <v>401.47</v>
      </c>
      <c r="J43" s="22">
        <f t="shared" ref="J43" si="30">H43+I43</f>
        <v>1351.44</v>
      </c>
      <c r="K43" s="23"/>
      <c r="L43" s="21">
        <v>19733.830000000002</v>
      </c>
      <c r="M43" s="21">
        <v>98.64</v>
      </c>
      <c r="N43" s="21">
        <v>1246.1600000000001</v>
      </c>
      <c r="O43" s="24"/>
      <c r="P43" s="25"/>
    </row>
    <row r="44" spans="1:16" ht="15" x14ac:dyDescent="0.2">
      <c r="A44" s="18" t="s">
        <v>2</v>
      </c>
      <c r="B44" s="19">
        <f t="shared" si="25"/>
        <v>848.09</v>
      </c>
      <c r="C44" s="19">
        <f t="shared" si="25"/>
        <v>4.24</v>
      </c>
      <c r="D44" s="20">
        <f t="shared" si="26"/>
        <v>71.03</v>
      </c>
      <c r="E44" s="19">
        <f t="shared" si="27"/>
        <v>70.58</v>
      </c>
      <c r="F44" s="20">
        <f>20*$J$2</f>
        <v>10</v>
      </c>
      <c r="G44" s="19">
        <f>SUM(B44:F44)</f>
        <v>1003.94</v>
      </c>
      <c r="H44" s="19">
        <f t="shared" si="28"/>
        <v>993.86</v>
      </c>
      <c r="I44" s="29">
        <f t="shared" si="29"/>
        <v>420.79</v>
      </c>
      <c r="J44" s="22">
        <f>H44+I44</f>
        <v>1414.65</v>
      </c>
      <c r="K44" s="23"/>
      <c r="L44" s="21">
        <v>20354.2</v>
      </c>
      <c r="M44" s="21">
        <v>101.76</v>
      </c>
      <c r="N44" s="21">
        <v>1693.97</v>
      </c>
      <c r="O44" s="24"/>
      <c r="P44" s="25"/>
    </row>
    <row r="45" spans="1:16" ht="15" x14ac:dyDescent="0.2">
      <c r="A45" s="18" t="s">
        <v>3</v>
      </c>
      <c r="B45" s="19">
        <f t="shared" si="25"/>
        <v>991.95</v>
      </c>
      <c r="C45" s="19">
        <f t="shared" si="25"/>
        <v>4.96</v>
      </c>
      <c r="D45" s="20">
        <f t="shared" si="26"/>
        <v>83.08</v>
      </c>
      <c r="E45" s="19">
        <f t="shared" si="27"/>
        <v>100.92</v>
      </c>
      <c r="F45" s="20">
        <f>9*$J$2</f>
        <v>4.5</v>
      </c>
      <c r="G45" s="19">
        <f>SUM(B45:F45)</f>
        <v>1185.4100000000001</v>
      </c>
      <c r="H45" s="19">
        <f t="shared" si="28"/>
        <v>1166.2</v>
      </c>
      <c r="I45" s="29">
        <f t="shared" si="29"/>
        <v>497.41</v>
      </c>
      <c r="J45" s="22">
        <f>H45+I45</f>
        <v>1663.6100000000001</v>
      </c>
      <c r="K45" s="23"/>
      <c r="L45" s="21">
        <v>23806.83</v>
      </c>
      <c r="M45" s="21">
        <v>119.04</v>
      </c>
      <c r="N45" s="21">
        <v>2422.16</v>
      </c>
      <c r="O45" s="24"/>
      <c r="P45" s="25"/>
    </row>
    <row r="46" spans="1:16" ht="15" x14ac:dyDescent="0.2">
      <c r="A46" s="18" t="s">
        <v>4</v>
      </c>
      <c r="B46" s="19">
        <f t="shared" si="25"/>
        <v>1120.42</v>
      </c>
      <c r="C46" s="19">
        <f t="shared" si="25"/>
        <v>5.6</v>
      </c>
      <c r="D46" s="20">
        <f t="shared" si="26"/>
        <v>93.84</v>
      </c>
      <c r="E46" s="19">
        <f t="shared" si="27"/>
        <v>121.23</v>
      </c>
      <c r="F46" s="19"/>
      <c r="G46" s="19">
        <f>SUM(B46:F46)</f>
        <v>1341.09</v>
      </c>
      <c r="H46" s="19">
        <f t="shared" si="28"/>
        <v>1314.27</v>
      </c>
      <c r="I46" s="29">
        <f>ROUND((G46-F46)*40.38%+(G46-F46)*1.61%+((B46+C46)-(556.86*$J$2))*4.36%,2)</f>
        <v>600.08000000000004</v>
      </c>
      <c r="J46" s="22">
        <f>H46+I46</f>
        <v>1914.35</v>
      </c>
      <c r="K46" s="23"/>
      <c r="L46" s="21">
        <v>26890.05</v>
      </c>
      <c r="M46" s="21">
        <v>134.4</v>
      </c>
      <c r="N46" s="21">
        <v>2909.4</v>
      </c>
      <c r="O46" s="24"/>
      <c r="P46" s="25"/>
    </row>
    <row r="47" spans="1:16" x14ac:dyDescent="0.2">
      <c r="K47" s="23"/>
    </row>
    <row r="48" spans="1:16" ht="29.25" customHeight="1" x14ac:dyDescent="0.2">
      <c r="B48" s="10"/>
      <c r="C48" s="10"/>
      <c r="D48" s="10"/>
      <c r="G48" s="14"/>
      <c r="H48" s="10"/>
      <c r="J48" s="15" t="s">
        <v>38</v>
      </c>
      <c r="K48" s="23"/>
      <c r="L48" s="9"/>
      <c r="M48" s="10"/>
      <c r="N48" s="10"/>
      <c r="O48" s="10"/>
    </row>
    <row r="49" spans="1:16" ht="89.25" x14ac:dyDescent="0.2">
      <c r="A49" s="5" t="s">
        <v>19</v>
      </c>
      <c r="B49" s="6" t="s">
        <v>8</v>
      </c>
      <c r="C49" s="6" t="s">
        <v>6</v>
      </c>
      <c r="D49" s="5" t="s">
        <v>11</v>
      </c>
      <c r="E49" s="6" t="s">
        <v>7</v>
      </c>
      <c r="F49" s="6" t="s">
        <v>37</v>
      </c>
      <c r="G49" s="5" t="s">
        <v>0</v>
      </c>
      <c r="H49" s="6" t="s">
        <v>1</v>
      </c>
      <c r="I49" s="6" t="s">
        <v>13</v>
      </c>
      <c r="J49" s="6" t="s">
        <v>14</v>
      </c>
      <c r="K49" s="23"/>
      <c r="L49" s="4" t="s">
        <v>10</v>
      </c>
      <c r="M49" s="16" t="s">
        <v>6</v>
      </c>
      <c r="N49" s="4" t="s">
        <v>20</v>
      </c>
      <c r="O49" s="3"/>
    </row>
    <row r="50" spans="1:16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3"/>
      <c r="P50" s="17"/>
    </row>
    <row r="51" spans="1:16" ht="15" x14ac:dyDescent="0.2">
      <c r="A51" s="18" t="s">
        <v>17</v>
      </c>
      <c r="B51" s="19">
        <f>ROUND(L51/12*$J$2,2)</f>
        <v>740.72</v>
      </c>
      <c r="C51" s="19">
        <f>ROUND(M51/12*$J$2,2)</f>
        <v>3.71</v>
      </c>
      <c r="D51" s="20">
        <f>ROUND((B51+C51)/12,2)</f>
        <v>62.04</v>
      </c>
      <c r="E51" s="19">
        <f>ROUND(N51/12*$J$2,2)</f>
        <v>51.92</v>
      </c>
      <c r="F51" s="20">
        <f>(28+22.22)*$J$2</f>
        <v>25.11</v>
      </c>
      <c r="G51" s="19">
        <f>SUM(B51:F51)</f>
        <v>883.5</v>
      </c>
      <c r="H51" s="19">
        <f>ROUND(G51+F51-G51*2%,2)</f>
        <v>890.94</v>
      </c>
      <c r="I51" s="29">
        <f>ROUND((G51-F51)*40.38%+F51*32.7%+(G51)*1.61%,2)</f>
        <v>369.05</v>
      </c>
      <c r="J51" s="22">
        <f>H51+I51</f>
        <v>1259.99</v>
      </c>
      <c r="K51" s="23"/>
      <c r="L51" s="21">
        <v>17777.3</v>
      </c>
      <c r="M51" s="21">
        <v>88.92</v>
      </c>
      <c r="N51" s="21">
        <v>1246.1600000000001</v>
      </c>
      <c r="O51" s="24"/>
      <c r="P51" s="25"/>
    </row>
    <row r="52" spans="1:16" ht="15" x14ac:dyDescent="0.2">
      <c r="A52" s="18" t="s">
        <v>18</v>
      </c>
      <c r="B52" s="19">
        <f t="shared" ref="B52:C55" si="31">ROUND(L52/12*$J$2,2)</f>
        <v>822.24</v>
      </c>
      <c r="C52" s="19">
        <f t="shared" si="31"/>
        <v>4.1100000000000003</v>
      </c>
      <c r="D52" s="20">
        <f t="shared" ref="D52:D55" si="32">ROUND((B52+C52)/12,2)</f>
        <v>68.86</v>
      </c>
      <c r="E52" s="19">
        <f t="shared" ref="E52:E55" si="33">ROUND(N52/12*$J$2,2)</f>
        <v>51.92</v>
      </c>
      <c r="F52" s="20">
        <f>(22+24.67)*$J$2</f>
        <v>23.335000000000001</v>
      </c>
      <c r="G52" s="19">
        <f>SUM(B52:F52)</f>
        <v>970.46500000000003</v>
      </c>
      <c r="H52" s="19">
        <f t="shared" ref="H52:H55" si="34">ROUND(G52+F52-G52*2%,2)</f>
        <v>974.39</v>
      </c>
      <c r="I52" s="29">
        <f t="shared" ref="I52:I54" si="35">ROUND((G52-F52)*40.38%+F52*32.7%+(G52)*1.61%,2)</f>
        <v>405.71</v>
      </c>
      <c r="J52" s="22">
        <f t="shared" ref="J52" si="36">H52+I52</f>
        <v>1380.1</v>
      </c>
      <c r="K52" s="23"/>
      <c r="L52" s="21">
        <v>19733.830000000002</v>
      </c>
      <c r="M52" s="21">
        <v>98.64</v>
      </c>
      <c r="N52" s="21">
        <v>1246.1600000000001</v>
      </c>
      <c r="O52" s="24"/>
      <c r="P52" s="25"/>
    </row>
    <row r="53" spans="1:16" ht="15" x14ac:dyDescent="0.2">
      <c r="A53" s="18" t="s">
        <v>2</v>
      </c>
      <c r="B53" s="19">
        <f t="shared" si="31"/>
        <v>848.09</v>
      </c>
      <c r="C53" s="19">
        <f t="shared" si="31"/>
        <v>4.24</v>
      </c>
      <c r="D53" s="20">
        <f t="shared" si="32"/>
        <v>71.03</v>
      </c>
      <c r="E53" s="19">
        <f t="shared" si="33"/>
        <v>70.58</v>
      </c>
      <c r="F53" s="20">
        <f>(20+25.44)*$J$2</f>
        <v>22.72</v>
      </c>
      <c r="G53" s="19">
        <f>SUM(B53:F53)</f>
        <v>1016.6600000000001</v>
      </c>
      <c r="H53" s="19">
        <f t="shared" si="34"/>
        <v>1019.05</v>
      </c>
      <c r="I53" s="29">
        <f t="shared" si="35"/>
        <v>425.15</v>
      </c>
      <c r="J53" s="22">
        <f>H53+I53</f>
        <v>1444.1999999999998</v>
      </c>
      <c r="K53" s="23"/>
      <c r="L53" s="21">
        <v>20354.2</v>
      </c>
      <c r="M53" s="21">
        <v>101.76</v>
      </c>
      <c r="N53" s="21">
        <v>1693.97</v>
      </c>
      <c r="O53" s="24"/>
      <c r="P53" s="25"/>
    </row>
    <row r="54" spans="1:16" ht="15" x14ac:dyDescent="0.2">
      <c r="A54" s="18" t="s">
        <v>3</v>
      </c>
      <c r="B54" s="19">
        <f t="shared" si="31"/>
        <v>991.95</v>
      </c>
      <c r="C54" s="19">
        <f t="shared" si="31"/>
        <v>4.96</v>
      </c>
      <c r="D54" s="20">
        <f t="shared" si="32"/>
        <v>83.08</v>
      </c>
      <c r="E54" s="19">
        <f t="shared" si="33"/>
        <v>100.92</v>
      </c>
      <c r="F54" s="20">
        <f>(9+29.76)*$J$2</f>
        <v>19.380000000000003</v>
      </c>
      <c r="G54" s="19">
        <f>SUM(B54:F54)</f>
        <v>1200.2900000000002</v>
      </c>
      <c r="H54" s="19">
        <f t="shared" si="34"/>
        <v>1195.6600000000001</v>
      </c>
      <c r="I54" s="29">
        <f t="shared" si="35"/>
        <v>502.51</v>
      </c>
      <c r="J54" s="22">
        <f>H54+I54</f>
        <v>1698.17</v>
      </c>
      <c r="K54" s="23"/>
      <c r="L54" s="21">
        <v>23806.83</v>
      </c>
      <c r="M54" s="21">
        <v>119.04</v>
      </c>
      <c r="N54" s="21">
        <v>2422.16</v>
      </c>
      <c r="O54" s="24"/>
      <c r="P54" s="25"/>
    </row>
    <row r="55" spans="1:16" ht="15" x14ac:dyDescent="0.2">
      <c r="A55" s="18" t="s">
        <v>4</v>
      </c>
      <c r="B55" s="19">
        <f t="shared" si="31"/>
        <v>1120.42</v>
      </c>
      <c r="C55" s="19">
        <f t="shared" si="31"/>
        <v>5.6</v>
      </c>
      <c r="D55" s="20">
        <f t="shared" si="32"/>
        <v>93.84</v>
      </c>
      <c r="E55" s="19">
        <f t="shared" si="33"/>
        <v>121.23</v>
      </c>
      <c r="F55" s="19">
        <f>33.61*$J$2</f>
        <v>16.805</v>
      </c>
      <c r="G55" s="19">
        <f>SUM(B55:F55)</f>
        <v>1357.895</v>
      </c>
      <c r="H55" s="19">
        <f t="shared" si="34"/>
        <v>1347.54</v>
      </c>
      <c r="I55" s="29">
        <f>ROUND((G55-F55)*40.38%+(G55-F55)*1.61%+((B55+C55)-(556.86*$J$2))*4.36%,2)</f>
        <v>600.08000000000004</v>
      </c>
      <c r="J55" s="22">
        <f>H55+I55</f>
        <v>1947.62</v>
      </c>
      <c r="K55" s="23"/>
      <c r="L55" s="21">
        <v>26890.05</v>
      </c>
      <c r="M55" s="21">
        <v>134.4</v>
      </c>
      <c r="N55" s="21">
        <v>2909.4</v>
      </c>
      <c r="O55" s="24"/>
      <c r="P55" s="25"/>
    </row>
    <row r="56" spans="1:16" x14ac:dyDescent="0.2">
      <c r="K56" s="23"/>
    </row>
    <row r="57" spans="1:16" ht="29.25" customHeight="1" x14ac:dyDescent="0.2">
      <c r="B57" s="10"/>
      <c r="C57" s="10"/>
      <c r="D57" s="10"/>
      <c r="G57" s="14"/>
      <c r="H57" s="10"/>
      <c r="J57" s="15" t="s">
        <v>23</v>
      </c>
      <c r="K57" s="23"/>
      <c r="L57" s="9"/>
      <c r="M57" s="10"/>
      <c r="N57" s="10"/>
      <c r="O57" s="10"/>
    </row>
    <row r="58" spans="1:16" ht="51" x14ac:dyDescent="0.2">
      <c r="A58" s="5" t="s">
        <v>19</v>
      </c>
      <c r="B58" s="6" t="s">
        <v>8</v>
      </c>
      <c r="C58" s="6" t="s">
        <v>6</v>
      </c>
      <c r="D58" s="5" t="s">
        <v>11</v>
      </c>
      <c r="E58" s="6" t="s">
        <v>7</v>
      </c>
      <c r="F58" s="6" t="s">
        <v>39</v>
      </c>
      <c r="G58" s="5" t="s">
        <v>0</v>
      </c>
      <c r="H58" s="6" t="s">
        <v>1</v>
      </c>
      <c r="I58" s="6" t="s">
        <v>13</v>
      </c>
      <c r="J58" s="6" t="s">
        <v>14</v>
      </c>
      <c r="K58" s="23"/>
      <c r="L58" s="4" t="s">
        <v>10</v>
      </c>
      <c r="M58" s="16" t="s">
        <v>6</v>
      </c>
      <c r="N58" s="4" t="s">
        <v>20</v>
      </c>
      <c r="O58" s="3"/>
    </row>
    <row r="59" spans="1:16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3"/>
      <c r="P59" s="17"/>
    </row>
    <row r="60" spans="1:16" ht="15" x14ac:dyDescent="0.2">
      <c r="A60" s="18" t="s">
        <v>17</v>
      </c>
      <c r="B60" s="19">
        <f>ROUND(L60/12*$J$2,2)</f>
        <v>753.12</v>
      </c>
      <c r="C60" s="19">
        <f>ROUND(M60/12*$J$2,2)</f>
        <v>3.77</v>
      </c>
      <c r="D60" s="20">
        <f>ROUND((B60+C60)/12,2)</f>
        <v>63.07</v>
      </c>
      <c r="E60" s="19">
        <f>ROUND(N60/12*$J$2,2)</f>
        <v>51.92</v>
      </c>
      <c r="F60" s="19">
        <f>22.59*$J$2</f>
        <v>11.295</v>
      </c>
      <c r="G60" s="19">
        <f>SUM(B60:F60)</f>
        <v>883.17499999999995</v>
      </c>
      <c r="H60" s="19">
        <f>ROUND(G60+F60-G60*2%,2)</f>
        <v>876.81</v>
      </c>
      <c r="I60" s="29">
        <f>ROUND((G60-F60)*40.38%+F60*32.7%+(G60)*1.61%,2)</f>
        <v>369.98</v>
      </c>
      <c r="J60" s="22">
        <f>H60+I60</f>
        <v>1246.79</v>
      </c>
      <c r="K60" s="23"/>
      <c r="L60" s="21">
        <v>18074.78</v>
      </c>
      <c r="M60" s="21">
        <v>90.36</v>
      </c>
      <c r="N60" s="21">
        <v>1246.1600000000001</v>
      </c>
      <c r="O60" s="24"/>
      <c r="P60" s="25"/>
    </row>
    <row r="61" spans="1:16" ht="15" x14ac:dyDescent="0.2">
      <c r="A61" s="18" t="s">
        <v>18</v>
      </c>
      <c r="B61" s="19">
        <f t="shared" ref="B61:C64" si="37">ROUND(L61/12*$J$2,2)</f>
        <v>831.98</v>
      </c>
      <c r="C61" s="19">
        <f t="shared" si="37"/>
        <v>4.16</v>
      </c>
      <c r="D61" s="20">
        <f t="shared" ref="D61:D64" si="38">ROUND((B61+C61)/12,2)</f>
        <v>69.680000000000007</v>
      </c>
      <c r="E61" s="19">
        <f t="shared" ref="E61:E64" si="39">ROUND(N61/12*$J$2,2)</f>
        <v>51.92</v>
      </c>
      <c r="F61" s="19">
        <f>24.96*$J$2</f>
        <v>12.48</v>
      </c>
      <c r="G61" s="19">
        <f>SUM(B61:F61)</f>
        <v>970.21999999999991</v>
      </c>
      <c r="H61" s="19">
        <f t="shared" ref="H61:H64" si="40">ROUND(G61+F61-G61*2%,2)</f>
        <v>963.3</v>
      </c>
      <c r="I61" s="29">
        <f t="shared" ref="I61:I63" si="41">ROUND((G61-F61)*40.38%+F61*32.7%+(G61)*1.61%,2)</f>
        <v>406.44</v>
      </c>
      <c r="J61" s="22">
        <f t="shared" ref="J61" si="42">H61+I61</f>
        <v>1369.74</v>
      </c>
      <c r="K61" s="23"/>
      <c r="L61" s="21">
        <v>19967.47</v>
      </c>
      <c r="M61" s="21">
        <v>99.84</v>
      </c>
      <c r="N61" s="21">
        <v>1246.1600000000001</v>
      </c>
      <c r="O61" s="24"/>
      <c r="P61" s="25"/>
    </row>
    <row r="62" spans="1:16" ht="15" x14ac:dyDescent="0.2">
      <c r="A62" s="18" t="s">
        <v>2</v>
      </c>
      <c r="B62" s="19">
        <f t="shared" si="37"/>
        <v>856.94</v>
      </c>
      <c r="C62" s="19">
        <f t="shared" si="37"/>
        <v>4.29</v>
      </c>
      <c r="D62" s="20">
        <f t="shared" si="38"/>
        <v>71.77</v>
      </c>
      <c r="E62" s="19">
        <f t="shared" si="39"/>
        <v>70.58</v>
      </c>
      <c r="F62" s="19">
        <f>25.71*$J$2</f>
        <v>12.855</v>
      </c>
      <c r="G62" s="19">
        <f>SUM(B62:F62)</f>
        <v>1016.4350000000001</v>
      </c>
      <c r="H62" s="19">
        <f t="shared" si="40"/>
        <v>1008.96</v>
      </c>
      <c r="I62" s="29">
        <f t="shared" si="41"/>
        <v>425.81</v>
      </c>
      <c r="J62" s="22">
        <f>H62+I62</f>
        <v>1434.77</v>
      </c>
      <c r="K62" s="23"/>
      <c r="L62" s="21">
        <v>20566.599999999999</v>
      </c>
      <c r="M62" s="21">
        <v>102.84</v>
      </c>
      <c r="N62" s="21">
        <v>1693.97</v>
      </c>
      <c r="O62" s="24"/>
      <c r="P62" s="25"/>
    </row>
    <row r="63" spans="1:16" ht="15" x14ac:dyDescent="0.2">
      <c r="A63" s="18" t="s">
        <v>3</v>
      </c>
      <c r="B63" s="19">
        <f t="shared" si="37"/>
        <v>995.94</v>
      </c>
      <c r="C63" s="19">
        <f t="shared" si="37"/>
        <v>4.9800000000000004</v>
      </c>
      <c r="D63" s="20">
        <f t="shared" si="38"/>
        <v>83.41</v>
      </c>
      <c r="E63" s="19">
        <f t="shared" si="39"/>
        <v>100.92</v>
      </c>
      <c r="F63" s="19">
        <f>29.88*$J$2</f>
        <v>14.94</v>
      </c>
      <c r="G63" s="19">
        <f>SUM(B63:F63)</f>
        <v>1200.1900000000003</v>
      </c>
      <c r="H63" s="19">
        <f t="shared" si="40"/>
        <v>1191.1300000000001</v>
      </c>
      <c r="I63" s="29">
        <f t="shared" si="41"/>
        <v>502.81</v>
      </c>
      <c r="J63" s="22">
        <f>H63+I63</f>
        <v>1693.94</v>
      </c>
      <c r="K63" s="23"/>
      <c r="L63" s="21">
        <v>23902.47</v>
      </c>
      <c r="M63" s="21">
        <v>119.52</v>
      </c>
      <c r="N63" s="21">
        <v>2422.16</v>
      </c>
      <c r="O63" s="24"/>
      <c r="P63" s="25"/>
    </row>
    <row r="64" spans="1:16" ht="15" x14ac:dyDescent="0.2">
      <c r="A64" s="18" t="s">
        <v>4</v>
      </c>
      <c r="B64" s="19">
        <f t="shared" si="37"/>
        <v>1120.42</v>
      </c>
      <c r="C64" s="19">
        <f t="shared" si="37"/>
        <v>5.6</v>
      </c>
      <c r="D64" s="20">
        <f t="shared" si="38"/>
        <v>93.84</v>
      </c>
      <c r="E64" s="19">
        <f t="shared" si="39"/>
        <v>121.23</v>
      </c>
      <c r="F64" s="19">
        <f>33.61*$J$2</f>
        <v>16.805</v>
      </c>
      <c r="G64" s="19">
        <f>SUM(B64:F64)</f>
        <v>1357.895</v>
      </c>
      <c r="H64" s="19">
        <f t="shared" si="40"/>
        <v>1347.54</v>
      </c>
      <c r="I64" s="29">
        <f>ROUND((G64-F64)*40.38%+(G64-F64)*1.61%+((B64+C64)-(556.86*$J$2))*4.36%,2)</f>
        <v>600.08000000000004</v>
      </c>
      <c r="J64" s="22">
        <f>H64+I64</f>
        <v>1947.62</v>
      </c>
      <c r="K64" s="23"/>
      <c r="L64" s="21">
        <v>26890.05</v>
      </c>
      <c r="M64" s="21">
        <v>134.4</v>
      </c>
      <c r="N64" s="21">
        <v>2909.4</v>
      </c>
      <c r="O64" s="24"/>
      <c r="P64" s="25"/>
    </row>
    <row r="66" spans="1:16" ht="15" x14ac:dyDescent="0.2">
      <c r="A66" s="30" t="s">
        <v>9</v>
      </c>
      <c r="B66" s="30" t="s">
        <v>25</v>
      </c>
      <c r="C66" s="30"/>
      <c r="D66" s="30"/>
      <c r="E66" s="31"/>
      <c r="F66" s="30"/>
      <c r="G66" s="30"/>
      <c r="M66" s="26"/>
      <c r="N66" s="26"/>
      <c r="O66" s="27"/>
      <c r="P66" s="25"/>
    </row>
    <row r="67" spans="1:16" x14ac:dyDescent="0.2">
      <c r="A67" s="30" t="s">
        <v>26</v>
      </c>
      <c r="B67" s="30"/>
      <c r="C67" s="30"/>
      <c r="D67" s="30"/>
      <c r="E67" s="30"/>
      <c r="F67" s="30"/>
      <c r="G67" s="30" t="s">
        <v>27</v>
      </c>
    </row>
    <row r="68" spans="1:16" x14ac:dyDescent="0.2">
      <c r="A68" s="30" t="s">
        <v>28</v>
      </c>
      <c r="B68" s="30"/>
      <c r="C68" s="30"/>
      <c r="D68" s="30"/>
      <c r="E68" s="30"/>
      <c r="F68" s="30"/>
      <c r="G68" s="30" t="s">
        <v>29</v>
      </c>
    </row>
    <row r="69" spans="1:16" x14ac:dyDescent="0.2">
      <c r="A69" s="30" t="s">
        <v>30</v>
      </c>
      <c r="B69" s="30"/>
      <c r="C69" s="30"/>
      <c r="D69" s="30"/>
      <c r="E69" s="30"/>
      <c r="F69" s="30"/>
      <c r="G69" s="30" t="s">
        <v>31</v>
      </c>
    </row>
    <row r="70" spans="1:16" x14ac:dyDescent="0.2">
      <c r="A70" s="30" t="s">
        <v>32</v>
      </c>
      <c r="B70" s="30"/>
      <c r="C70" s="30"/>
      <c r="D70" s="30"/>
      <c r="E70" s="30"/>
      <c r="F70" s="30"/>
      <c r="G70" s="30" t="s">
        <v>33</v>
      </c>
    </row>
    <row r="71" spans="1:16" x14ac:dyDescent="0.2">
      <c r="A71" s="30" t="s">
        <v>34</v>
      </c>
      <c r="B71" s="30"/>
      <c r="C71" s="30"/>
      <c r="D71" s="30"/>
      <c r="E71" s="30"/>
      <c r="F71" s="30"/>
      <c r="G71" s="30" t="s">
        <v>35</v>
      </c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scale="35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100% </vt:lpstr>
      <vt:lpstr>83,33%</vt:lpstr>
      <vt:lpstr>66,66%</vt:lpstr>
      <vt:lpstr>50%</vt:lpstr>
    </vt:vector>
  </TitlesOfParts>
  <Company>UNIV. DEGLI  DI 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DEGLI  DI  FIRENZE</dc:creator>
  <cp:lastModifiedBy>Rosangela Riva</cp:lastModifiedBy>
  <cp:lastPrinted>2018-07-18T13:34:46Z</cp:lastPrinted>
  <dcterms:created xsi:type="dcterms:W3CDTF">2003-05-21T09:14:45Z</dcterms:created>
  <dcterms:modified xsi:type="dcterms:W3CDTF">2023-01-31T17:01:52Z</dcterms:modified>
</cp:coreProperties>
</file>